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65524" windowWidth="7656" windowHeight="8676" tabRatio="601" firstSheet="15" activeTab="22"/>
  </bookViews>
  <sheets>
    <sheet name="Koeficienty" sheetId="1" r:id="rId1"/>
    <sheet name="Pražské koleje" sheetId="2" r:id="rId2"/>
    <sheet name="Jednota" sheetId="3" r:id="rId3"/>
    <sheet name="Petrská" sheetId="4" r:id="rId4"/>
    <sheet name="Arnošt" sheetId="5" r:id="rId5"/>
    <sheet name="Budeč" sheetId="6" r:id="rId6"/>
    <sheet name="Švehlova" sheetId="7" r:id="rId7"/>
    <sheet name="Větrník" sheetId="8" r:id="rId8"/>
    <sheet name="Hvězda" sheetId="9" r:id="rId9"/>
    <sheet name="Kajetánka" sheetId="10" r:id="rId10"/>
    <sheet name="Komenského" sheetId="11" r:id="rId11"/>
    <sheet name="Olbracht" sheetId="12" r:id="rId12"/>
    <sheet name="Nová Kolej" sheetId="13" r:id="rId13"/>
    <sheet name="17. listopad" sheetId="14" r:id="rId14"/>
    <sheet name="Otava+Vltava" sheetId="15" r:id="rId15"/>
    <sheet name="Hostivař" sheetId="16" r:id="rId16"/>
    <sheet name="Plzeňské koleje" sheetId="17" r:id="rId17"/>
    <sheet name="Bolevecká" sheetId="18" r:id="rId18"/>
    <sheet name="Heyrovského" sheetId="19" r:id="rId19"/>
    <sheet name="Šafránkův pav." sheetId="20" r:id="rId20"/>
    <sheet name="Hradecké koleje" sheetId="21" r:id="rId21"/>
    <sheet name="Na Kotli" sheetId="22" r:id="rId22"/>
    <sheet name="Palachova" sheetId="23" r:id="rId23"/>
  </sheets>
  <definedNames>
    <definedName name="_xlnm.Print_Titles" localSheetId="20">'Hradecké koleje'!$1:$2</definedName>
    <definedName name="_xlnm.Print_Titles" localSheetId="16">'Plzeňské koleje'!$1:$2</definedName>
    <definedName name="_xlnm.Print_Titles" localSheetId="1">'Pražské koleje'!$1:$2</definedName>
    <definedName name="_xlnm.Print_Area" localSheetId="20">'Hradecké koleje'!$A$1:$G$9</definedName>
    <definedName name="_xlnm.Print_Area" localSheetId="16">'Plzeňské koleje'!$A$1:$F$16</definedName>
    <definedName name="_xlnm.Print_Area" localSheetId="1">'Pražské koleje'!$A$1:$Q$3</definedName>
  </definedNames>
  <calcPr fullCalcOnLoad="1"/>
</workbook>
</file>

<file path=xl/sharedStrings.xml><?xml version="1.0" encoding="utf-8"?>
<sst xmlns="http://schemas.openxmlformats.org/spreadsheetml/2006/main" count="555" uniqueCount="96">
  <si>
    <t>Počet pokojů</t>
  </si>
  <si>
    <t>kolej  Jednota</t>
  </si>
  <si>
    <t>Výpočet:</t>
  </si>
  <si>
    <t>Celkem lůžek</t>
  </si>
  <si>
    <t>Prům.cena</t>
  </si>
  <si>
    <t>Celkové suma kolejného</t>
  </si>
  <si>
    <t>Koeficient</t>
  </si>
  <si>
    <t>Počet lůžek</t>
  </si>
  <si>
    <t>Kontrola výpočtu</t>
  </si>
  <si>
    <t>Jednota</t>
  </si>
  <si>
    <t>Petrská</t>
  </si>
  <si>
    <t>Arnošt</t>
  </si>
  <si>
    <t>Budeč</t>
  </si>
  <si>
    <t>Švehlova</t>
  </si>
  <si>
    <t>Větrník</t>
  </si>
  <si>
    <t>Hvězda</t>
  </si>
  <si>
    <t>Kajetánka</t>
  </si>
  <si>
    <t>Komenského</t>
  </si>
  <si>
    <t>Olbracht</t>
  </si>
  <si>
    <t>Nová</t>
  </si>
  <si>
    <t>17.listopad</t>
  </si>
  <si>
    <t>Otava + Vltava</t>
  </si>
  <si>
    <t>Hostivař</t>
  </si>
  <si>
    <t xml:space="preserve">Pražské koleje celkem </t>
  </si>
  <si>
    <t>Ukazatel</t>
  </si>
  <si>
    <t>Druh pokoje</t>
  </si>
  <si>
    <t>Výpočet ceny za 1 lůžkoden bez DPH v Kč</t>
  </si>
  <si>
    <t>Výpočet ceny za 1 měsíc    bez DPH v Kč</t>
  </si>
  <si>
    <t>Cena za            1 lůžkoden       bez DPH v Kč   "Pražské koleje"</t>
  </si>
  <si>
    <t>Cena za           1 měsíc         bez DPH v Kč  "Pražské koleje"</t>
  </si>
  <si>
    <t>kolej  Arnošta z Pardubic</t>
  </si>
  <si>
    <t>kolej  Petrská</t>
  </si>
  <si>
    <t>kolej  Budeč</t>
  </si>
  <si>
    <t>kolej  Švehlova</t>
  </si>
  <si>
    <t>kolej  Větrník</t>
  </si>
  <si>
    <t>kolej  Hvězda</t>
  </si>
  <si>
    <t>kolej  Komenského</t>
  </si>
  <si>
    <t>kolej  Kajetánka</t>
  </si>
  <si>
    <t>kolej  I.Olbrachta</t>
  </si>
  <si>
    <t>Nová Kolej</t>
  </si>
  <si>
    <t>kolej  17. listopadu</t>
  </si>
  <si>
    <t>kolej  Hostivař</t>
  </si>
  <si>
    <t>kolej  Otava     kolej Vltava</t>
  </si>
  <si>
    <t>Bolevecká</t>
  </si>
  <si>
    <t>Heyrovského</t>
  </si>
  <si>
    <t>Šafr. pavilon</t>
  </si>
  <si>
    <t>Plzeňské koleje celkem</t>
  </si>
  <si>
    <t>Na Kotli</t>
  </si>
  <si>
    <t>Palachova</t>
  </si>
  <si>
    <t>Garni DČ</t>
  </si>
  <si>
    <t>Hradecké koleje celkem</t>
  </si>
  <si>
    <t>kolej  Palachova</t>
  </si>
  <si>
    <t>kolej  Na Kotli</t>
  </si>
  <si>
    <t>kolej  Bolevecká</t>
  </si>
  <si>
    <t>kolej  Heyrovského</t>
  </si>
  <si>
    <t>kolej  Šafránkův pavilon</t>
  </si>
  <si>
    <t xml:space="preserve">  1  lůžkový</t>
  </si>
  <si>
    <t xml:space="preserve">  2  lůžkový</t>
  </si>
  <si>
    <t xml:space="preserve">  3  lůžkový</t>
  </si>
  <si>
    <t xml:space="preserve">  4  lůžkový</t>
  </si>
  <si>
    <t xml:space="preserve">  5  lůžkový</t>
  </si>
  <si>
    <t xml:space="preserve">  1  lůžkový se soc.zař.</t>
  </si>
  <si>
    <t xml:space="preserve">  2  lůžkový se soc.zař.</t>
  </si>
  <si>
    <t xml:space="preserve">  3  lůžkový se soc.zař.</t>
  </si>
  <si>
    <t xml:space="preserve">  4  lůžkový se soc.zař.</t>
  </si>
  <si>
    <t xml:space="preserve">  5  lůžkový se soc.zař.</t>
  </si>
  <si>
    <t>Výpočet ceny za 1 lůžkoden vč. DPH v Kč</t>
  </si>
  <si>
    <t>Výpočet ceny za 1 měsíc    vč. DPH v Kč</t>
  </si>
  <si>
    <t>Cena za            1 lůžkoden       bez DPH v Kč   "Hradecké koleje"</t>
  </si>
  <si>
    <t>Cena za           1 měsíc         bez DPH v Kč  "Hradecké koleje"</t>
  </si>
  <si>
    <t>Cena za            1 lůžkoden       bez DPH v Kč   "Plzeňské koleje"</t>
  </si>
  <si>
    <t>Cena za           1 měsíc         bez DPH v Kč  "Plzeňské koleje"</t>
  </si>
  <si>
    <t>Pozn: Výpočet v násl. tabulkách je proveden dle hodnot v oranž. polích</t>
  </si>
  <si>
    <t xml:space="preserve">  Pokoj se sociálním zař.</t>
  </si>
  <si>
    <t xml:space="preserve">  vč.společného pro buňku</t>
  </si>
  <si>
    <t xml:space="preserve">  Koeficient pro  pokoje s novým vybavením</t>
  </si>
  <si>
    <t xml:space="preserve">  Koeficient pro  DPH</t>
  </si>
  <si>
    <t xml:space="preserve">  1  lůžkový                     - nadstandard</t>
  </si>
  <si>
    <t xml:space="preserve">  1  lůžkový se soc.zař.  - nadstandard</t>
  </si>
  <si>
    <t xml:space="preserve">  2  lůžkový                     - nadstandard</t>
  </si>
  <si>
    <t xml:space="preserve">  2  lůžkový se soc.zař.  - nadstandard</t>
  </si>
  <si>
    <t xml:space="preserve">  3  lůžkový                     - nadstandard</t>
  </si>
  <si>
    <t xml:space="preserve">  3  lůžkový se soc.zař.  - nadstandard</t>
  </si>
  <si>
    <t xml:space="preserve">  4  lůžkový                     - nadstandard</t>
  </si>
  <si>
    <t xml:space="preserve">  4  lůžkový se soc.zař.  - nadstandard</t>
  </si>
  <si>
    <t xml:space="preserve">  4  lůžkový se soc.zař. (manželské)</t>
  </si>
  <si>
    <t xml:space="preserve">Koeficient  pro odlišení cen mezi pokoji </t>
  </si>
  <si>
    <t>Pražské koleje</t>
  </si>
  <si>
    <t>Základní standardní cena (Kč):</t>
  </si>
  <si>
    <t>Plzeňské koleje</t>
  </si>
  <si>
    <t>Hradecké koleje</t>
  </si>
  <si>
    <t>Základní standardní cena</t>
  </si>
  <si>
    <t>Pozn:</t>
  </si>
  <si>
    <t>1. Využívá-li student(ka) se svým dítětem a manželem (manželkou) nebo partnerem (partnerkou) celou buňku, činí celková úhrada čtyřnásobek výše uvedené ceny.</t>
  </si>
  <si>
    <t xml:space="preserve">2. Využívá-li student(ka) se svým dítětem a manželem (manželkou) nebo partnerem (partnerkou) pouze polovinu buňky, činí celková úhrada standardní cenu za dvě lůžka na dvoulůžkovém pokoji se sociálním zařízením. </t>
  </si>
  <si>
    <t xml:space="preserve">3. Využívá-li student(ka) se svým dítětem pouze polovinu buňky, činí celková úhrada standardní cenu za jedno lůžko na dvoulůžkovém pokoji se sociálním zařízením navýšenou o cenu za ubytování dítěte, která se stanoví ve výši 22,13 Kč bez DPH za jeden lůžkoden.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</si>
</sst>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#,##0.0_ ;[Red]\-#,##0.0\ "/>
    <numFmt numFmtId="168" formatCode="#,##0.00000000_ ;[Red]\-#,##0.00000000\ "/>
    <numFmt numFmtId="169" formatCode="#,##0.000000_ ;[Red]\-#,##0.000000\ "/>
    <numFmt numFmtId="170" formatCode="#,##0.0000000_ ;[Red]\-#,##0.0000000\ "/>
    <numFmt numFmtId="171" formatCode="##,##0"/>
    <numFmt numFmtId="172" formatCode="##,###"/>
    <numFmt numFmtId="173" formatCode="[&lt;=9999999]###\ ##\ ##;##\ ##\ ##\ ##"/>
    <numFmt numFmtId="174" formatCode="[&lt;=99999]###\ ##;##\ ##\ ##"/>
    <numFmt numFmtId="175" formatCode="[&lt;=999999]###\ ##;##\ ##\ ##"/>
    <numFmt numFmtId="176" formatCode="[&lt;=999999999]###\ ##;##\ ##\ ##"/>
    <numFmt numFmtId="177" formatCode="[&lt;=99999]####\####\ ##\ ##;General"/>
    <numFmt numFmtId="178" formatCode="[&lt;=99999]####\ #####\ ####;General"/>
    <numFmt numFmtId="179" formatCode="[&lt;=99999]####\ #####\ \ ####;General"/>
    <numFmt numFmtId="180" formatCode="#,##0.0"/>
    <numFmt numFmtId="181" formatCode="#,##0.000_ ;[Red]\-#,##0.000\ "/>
    <numFmt numFmtId="182" formatCode="#,##0.000000000_ ;[Red]\-#,##0.000000000\ "/>
    <numFmt numFmtId="183" formatCode="#,##0.0000000000_ ;[Red]\-#,##0.0000000000\ "/>
    <numFmt numFmtId="184" formatCode="0.0000000"/>
    <numFmt numFmtId="185" formatCode="#,##0.00000_ ;[Red]\-#,##0.00000\ "/>
    <numFmt numFmtId="186" formatCode="#,##0.00000000000_ ;[Red]\-#,##0.00000000000\ "/>
    <numFmt numFmtId="187" formatCode="0.000000"/>
    <numFmt numFmtId="188" formatCode="0.00000"/>
    <numFmt numFmtId="189" formatCode="0.0000"/>
    <numFmt numFmtId="190" formatCode="0.000"/>
    <numFmt numFmtId="191" formatCode="#,##0.0000_ ;[Red]\-#,##0.0000\ "/>
    <numFmt numFmtId="192" formatCode="0.0"/>
    <numFmt numFmtId="193" formatCode="#,##0.000"/>
    <numFmt numFmtId="194" formatCode="#,##0.0000"/>
    <numFmt numFmtId="195" formatCode="#,##0.00000"/>
    <numFmt numFmtId="196" formatCode="#,##0.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6" fillId="0" borderId="0" xfId="20" applyFont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4" fontId="6" fillId="0" borderId="0" xfId="20" applyNumberFormat="1" applyFont="1">
      <alignment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6" fontId="2" fillId="2" borderId="2" xfId="0" applyNumberFormat="1" applyFont="1" applyFill="1" applyBorder="1" applyAlignment="1">
      <alignment vertical="center"/>
    </xf>
    <xf numFmtId="16" fontId="2" fillId="2" borderId="3" xfId="0" applyNumberFormat="1" applyFont="1" applyFill="1" applyBorder="1" applyAlignment="1">
      <alignment vertical="center"/>
    </xf>
    <xf numFmtId="16" fontId="1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wrapText="1"/>
    </xf>
    <xf numFmtId="0" fontId="0" fillId="0" borderId="5" xfId="0" applyBorder="1" applyAlignment="1">
      <alignment/>
    </xf>
    <xf numFmtId="16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 vertical="top" wrapText="1"/>
    </xf>
    <xf numFmtId="49" fontId="0" fillId="0" borderId="6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0" fillId="0" borderId="5" xfId="0" applyBorder="1" applyAlignment="1">
      <alignment horizontal="left"/>
    </xf>
    <xf numFmtId="164" fontId="1" fillId="2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1" fillId="0" borderId="5" xfId="0" applyFont="1" applyBorder="1" applyAlignment="1">
      <alignment/>
    </xf>
    <xf numFmtId="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" fontId="1" fillId="0" borderId="3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16" fontId="2" fillId="2" borderId="2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6" fillId="0" borderId="0" xfId="20" applyNumberFormat="1" applyFont="1">
      <alignment/>
      <protection/>
    </xf>
    <xf numFmtId="0" fontId="7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67" fontId="6" fillId="0" borderId="0" xfId="20" applyNumberFormat="1" applyFont="1">
      <alignment/>
      <protection/>
    </xf>
    <xf numFmtId="164" fontId="6" fillId="0" borderId="12" xfId="20" applyNumberFormat="1" applyFont="1" applyBorder="1">
      <alignment/>
      <protection/>
    </xf>
    <xf numFmtId="164" fontId="6" fillId="0" borderId="13" xfId="20" applyNumberFormat="1" applyFont="1" applyFill="1" applyBorder="1" applyAlignment="1">
      <alignment horizontal="left"/>
      <protection/>
    </xf>
    <xf numFmtId="164" fontId="6" fillId="0" borderId="13" xfId="20" applyNumberFormat="1" applyFont="1" applyBorder="1">
      <alignment/>
      <protection/>
    </xf>
    <xf numFmtId="164" fontId="6" fillId="0" borderId="11" xfId="20" applyNumberFormat="1" applyFont="1" applyBorder="1">
      <alignment/>
      <protection/>
    </xf>
    <xf numFmtId="164" fontId="6" fillId="0" borderId="14" xfId="20" applyNumberFormat="1" applyFont="1" applyBorder="1">
      <alignment/>
      <protection/>
    </xf>
    <xf numFmtId="164" fontId="0" fillId="0" borderId="6" xfId="0" applyNumberFormat="1" applyBorder="1" applyAlignment="1">
      <alignment/>
    </xf>
    <xf numFmtId="164" fontId="1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2" borderId="6" xfId="0" applyNumberFormat="1" applyFont="1" applyFill="1" applyBorder="1" applyAlignment="1">
      <alignment/>
    </xf>
    <xf numFmtId="49" fontId="8" fillId="0" borderId="4" xfId="0" applyNumberFormat="1" applyFont="1" applyBorder="1" applyAlignment="1">
      <alignment horizontal="center" wrapText="1"/>
    </xf>
    <xf numFmtId="0" fontId="0" fillId="4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9" fontId="0" fillId="4" borderId="6" xfId="0" applyNumberFormat="1" applyFill="1" applyBorder="1" applyAlignment="1">
      <alignment/>
    </xf>
    <xf numFmtId="0" fontId="0" fillId="0" borderId="15" xfId="0" applyBorder="1" applyAlignment="1">
      <alignment/>
    </xf>
    <xf numFmtId="0" fontId="7" fillId="2" borderId="17" xfId="20" applyFont="1" applyFill="1" applyBorder="1" applyAlignment="1">
      <alignment horizontal="center" vertical="center" textRotation="90" wrapText="1"/>
      <protection/>
    </xf>
    <xf numFmtId="0" fontId="3" fillId="2" borderId="1" xfId="20" applyFill="1" applyBorder="1" applyAlignment="1">
      <alignment horizontal="center" vertical="center" textRotation="90" wrapText="1"/>
      <protection/>
    </xf>
    <xf numFmtId="0" fontId="7" fillId="4" borderId="18" xfId="20" applyFont="1" applyFill="1" applyBorder="1" applyAlignment="1">
      <alignment horizontal="center" vertical="center" textRotation="90" wrapText="1"/>
      <protection/>
    </xf>
    <xf numFmtId="0" fontId="3" fillId="4" borderId="19" xfId="20" applyFill="1" applyBorder="1" applyAlignment="1">
      <alignment horizontal="center" vertical="center" textRotation="90" wrapText="1"/>
      <protection/>
    </xf>
    <xf numFmtId="0" fontId="7" fillId="3" borderId="17" xfId="20" applyFont="1" applyFill="1" applyBorder="1" applyAlignment="1">
      <alignment horizontal="center" vertical="center" textRotation="90" wrapText="1"/>
      <protection/>
    </xf>
    <xf numFmtId="0" fontId="3" fillId="3" borderId="1" xfId="20" applyFill="1" applyBorder="1" applyAlignment="1">
      <alignment horizontal="center" vertical="center" textRotation="90" wrapText="1"/>
      <protection/>
    </xf>
    <xf numFmtId="0" fontId="11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aM 04_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234"/>
  <sheetViews>
    <sheetView workbookViewId="0" topLeftCell="A1">
      <selection activeCell="B22" sqref="B2:B22"/>
    </sheetView>
  </sheetViews>
  <sheetFormatPr defaultColWidth="9.140625" defaultRowHeight="12.75"/>
  <cols>
    <col min="1" max="1" width="40.00390625" style="10" customWidth="1"/>
    <col min="2" max="2" width="24.00390625" style="0" customWidth="1"/>
  </cols>
  <sheetData>
    <row r="1" spans="1:2" ht="74.25" customHeight="1">
      <c r="A1" s="43" t="s">
        <v>25</v>
      </c>
      <c r="B1" s="70" t="s">
        <v>86</v>
      </c>
    </row>
    <row r="2" spans="1:2" ht="12.75">
      <c r="A2" s="27" t="s">
        <v>56</v>
      </c>
      <c r="B2" s="71">
        <v>1.25</v>
      </c>
    </row>
    <row r="3" spans="1:2" ht="12.75" hidden="1">
      <c r="A3" s="27" t="s">
        <v>77</v>
      </c>
      <c r="B3" s="23">
        <f>B2*B23</f>
        <v>1.3125</v>
      </c>
    </row>
    <row r="4" spans="1:2" ht="12.75">
      <c r="A4" s="27" t="s">
        <v>61</v>
      </c>
      <c r="B4" s="72">
        <f>B2*B21</f>
        <v>1.4375</v>
      </c>
    </row>
    <row r="5" spans="1:2" ht="12.75" hidden="1">
      <c r="A5" s="27" t="s">
        <v>78</v>
      </c>
      <c r="B5" s="72">
        <f>B4*B23</f>
        <v>1.5093750000000001</v>
      </c>
    </row>
    <row r="6" spans="1:2" ht="12.75">
      <c r="A6" s="27" t="s">
        <v>57</v>
      </c>
      <c r="B6" s="71">
        <v>1</v>
      </c>
    </row>
    <row r="7" spans="1:2" ht="12.75" hidden="1">
      <c r="A7" s="27" t="s">
        <v>79</v>
      </c>
      <c r="B7" s="23">
        <f>B6*B23</f>
        <v>1.05</v>
      </c>
    </row>
    <row r="8" spans="1:2" ht="12.75">
      <c r="A8" s="27" t="s">
        <v>62</v>
      </c>
      <c r="B8" s="72">
        <f>B6*B21</f>
        <v>1.15</v>
      </c>
    </row>
    <row r="9" spans="1:2" ht="12.75" hidden="1">
      <c r="A9" s="27" t="s">
        <v>80</v>
      </c>
      <c r="B9" s="72">
        <f>B8*B23</f>
        <v>1.2075</v>
      </c>
    </row>
    <row r="10" spans="1:2" ht="12.75">
      <c r="A10" s="27" t="s">
        <v>58</v>
      </c>
      <c r="B10" s="71">
        <v>0.8</v>
      </c>
    </row>
    <row r="11" spans="1:2" ht="12.75" hidden="1">
      <c r="A11" s="27" t="s">
        <v>81</v>
      </c>
      <c r="B11" s="23">
        <f>B10*B23</f>
        <v>0.8400000000000001</v>
      </c>
    </row>
    <row r="12" spans="1:2" ht="12.75">
      <c r="A12" s="27" t="s">
        <v>63</v>
      </c>
      <c r="B12" s="72">
        <f>B10*B21</f>
        <v>0.9199999999999999</v>
      </c>
    </row>
    <row r="13" spans="1:2" ht="12.75" hidden="1">
      <c r="A13" s="27" t="s">
        <v>82</v>
      </c>
      <c r="B13" s="72">
        <f>B12*B23</f>
        <v>0.966</v>
      </c>
    </row>
    <row r="14" spans="1:2" ht="12.75">
      <c r="A14" s="27" t="s">
        <v>59</v>
      </c>
      <c r="B14" s="71">
        <v>0.7</v>
      </c>
    </row>
    <row r="15" spans="1:2" ht="12.75" hidden="1">
      <c r="A15" s="27" t="s">
        <v>83</v>
      </c>
      <c r="B15" s="23">
        <f>B14*B23</f>
        <v>0.735</v>
      </c>
    </row>
    <row r="16" spans="1:2" ht="12.75">
      <c r="A16" s="27" t="s">
        <v>64</v>
      </c>
      <c r="B16" s="72">
        <f>B14*B21</f>
        <v>0.8049999999999999</v>
      </c>
    </row>
    <row r="17" spans="1:2" ht="12.75" hidden="1">
      <c r="A17" s="27" t="s">
        <v>84</v>
      </c>
      <c r="B17" s="72">
        <f>B16*B23</f>
        <v>0.84525</v>
      </c>
    </row>
    <row r="18" spans="1:2" ht="12.75">
      <c r="A18" s="27" t="s">
        <v>60</v>
      </c>
      <c r="B18" s="71">
        <v>0.6</v>
      </c>
    </row>
    <row r="19" spans="1:2" ht="12.75">
      <c r="A19" s="27" t="s">
        <v>65</v>
      </c>
      <c r="B19" s="23">
        <f>B18*B21</f>
        <v>0.69</v>
      </c>
    </row>
    <row r="20" spans="1:2" ht="12.75">
      <c r="A20" s="44"/>
      <c r="B20" s="23"/>
    </row>
    <row r="21" spans="1:5" ht="12.75">
      <c r="A21" s="44" t="s">
        <v>73</v>
      </c>
      <c r="B21" s="71">
        <v>1.15</v>
      </c>
      <c r="E21" s="7"/>
    </row>
    <row r="22" spans="1:2" ht="12.75">
      <c r="A22" s="44" t="s">
        <v>74</v>
      </c>
      <c r="B22" s="23"/>
    </row>
    <row r="23" spans="1:2" ht="12.75" hidden="1">
      <c r="A23" s="44" t="s">
        <v>75</v>
      </c>
      <c r="B23" s="71">
        <v>1.05</v>
      </c>
    </row>
    <row r="24" spans="1:2" ht="12.75">
      <c r="A24" s="45"/>
      <c r="B24" s="23"/>
    </row>
    <row r="25" spans="1:2" ht="12.75">
      <c r="A25" s="44" t="s">
        <v>76</v>
      </c>
      <c r="B25" s="73">
        <v>1.09</v>
      </c>
    </row>
    <row r="26" spans="1:2" ht="12.75">
      <c r="A26" s="46"/>
      <c r="B26" s="74"/>
    </row>
    <row r="28" ht="12.75">
      <c r="A28" s="10" t="s">
        <v>72</v>
      </c>
    </row>
    <row r="30" ht="12.75">
      <c r="A30" s="47"/>
    </row>
    <row r="32" ht="12.75">
      <c r="B32" s="48"/>
    </row>
    <row r="33" ht="12.75">
      <c r="B33" s="48"/>
    </row>
    <row r="34" ht="12.75">
      <c r="B34" s="48"/>
    </row>
    <row r="35" ht="12.75">
      <c r="B35" s="48"/>
    </row>
    <row r="36" ht="12.75">
      <c r="B36" s="48"/>
    </row>
    <row r="37" ht="12.75">
      <c r="B37" s="49"/>
    </row>
    <row r="38" ht="12.75">
      <c r="B38" s="48"/>
    </row>
    <row r="39" ht="12.75">
      <c r="B39" s="48"/>
    </row>
    <row r="40" ht="12.75">
      <c r="B40" s="48"/>
    </row>
    <row r="41" ht="12.75">
      <c r="B41" s="48"/>
    </row>
    <row r="42" ht="12.75">
      <c r="B42" s="48"/>
    </row>
    <row r="43" ht="12.75">
      <c r="B43" s="48"/>
    </row>
    <row r="44" ht="12.75">
      <c r="B44" s="48"/>
    </row>
    <row r="45" ht="12.75">
      <c r="B45" s="48"/>
    </row>
    <row r="46" ht="12.75">
      <c r="B46" s="48"/>
    </row>
    <row r="47" ht="12.75">
      <c r="B47" s="48"/>
    </row>
    <row r="48" ht="12.75">
      <c r="B48" s="48"/>
    </row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ht="12.75">
      <c r="B57" s="48"/>
    </row>
    <row r="58" ht="12.75">
      <c r="B58" s="48"/>
    </row>
    <row r="59" ht="12.75">
      <c r="B59" s="48"/>
    </row>
    <row r="60" ht="12.75">
      <c r="B60" s="48"/>
    </row>
    <row r="61" ht="12.75">
      <c r="B61" s="48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ht="12.75">
      <c r="B82" s="48"/>
    </row>
    <row r="83" ht="12.75">
      <c r="B83" s="48"/>
    </row>
    <row r="84" ht="12.75">
      <c r="B84" s="48"/>
    </row>
    <row r="85" ht="12.75">
      <c r="B85" s="48"/>
    </row>
    <row r="86" ht="12.75">
      <c r="B86" s="48"/>
    </row>
    <row r="87" ht="12.75">
      <c r="B87" s="48"/>
    </row>
    <row r="88" ht="12.75"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&amp;C&amp;F \ &amp;A&amp;R&amp;P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71093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37</v>
      </c>
      <c r="B2" s="12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koleje'!I3</f>
        <v>84.68536859522014</v>
      </c>
      <c r="F4" s="21"/>
      <c r="G4" s="9"/>
      <c r="H4" s="22">
        <f>E4*365/12</f>
        <v>2575.8466281046126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237</v>
      </c>
      <c r="C9" s="9">
        <f>B9*1</f>
        <v>237</v>
      </c>
      <c r="D9" s="9">
        <f>Koeficienty!B4</f>
        <v>1.4375</v>
      </c>
      <c r="E9" s="28">
        <f>IF(B9&gt;0,$E$10*D9," ")</f>
        <v>101.16998545982305</v>
      </c>
      <c r="F9" s="28">
        <f>IF(E9=" "," ",E9*Koeficienty!$B$25)</f>
        <v>110.27528415120713</v>
      </c>
      <c r="G9" s="29">
        <f aca="true" t="shared" si="0" ref="G9:G17">IF(E9=" "," ",E9*C9)</f>
        <v>23977.286553978065</v>
      </c>
      <c r="H9" s="28">
        <f aca="true" t="shared" si="1" ref="H9:H17">IF(E9=" "," ",E9*365/12)</f>
        <v>3077.2537244029513</v>
      </c>
      <c r="I9" s="66">
        <f>IF(H9=" "," ",H9*Koeficienty!$B$25)</f>
        <v>3354.206559599217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70.3791203198769</v>
      </c>
      <c r="F10" s="40">
        <f>IF(E10=" "," ",E10*Koeficienty!$B$25)</f>
        <v>76.71324114866583</v>
      </c>
      <c r="G10" s="29">
        <f t="shared" si="0"/>
        <v>0</v>
      </c>
      <c r="H10" s="40">
        <f t="shared" si="1"/>
        <v>2140.6982430629228</v>
      </c>
      <c r="I10" s="69">
        <f>IF(H10=" "," ",H10*Koeficienty!$B$25)</f>
        <v>2333.361084938586</v>
      </c>
    </row>
    <row r="11" spans="1:9" ht="12.75">
      <c r="A11" s="27" t="s">
        <v>62</v>
      </c>
      <c r="B11" s="9">
        <v>521</v>
      </c>
      <c r="C11" s="9">
        <f>B11*2</f>
        <v>1042</v>
      </c>
      <c r="D11" s="9">
        <f>Koeficienty!B8</f>
        <v>1.15</v>
      </c>
      <c r="E11" s="28">
        <f aca="true" t="shared" si="2" ref="E11:E17">IF(B11&gt;0,$E$10*D11," ")</f>
        <v>80.93598836785843</v>
      </c>
      <c r="F11" s="28">
        <f>IF(E11=" "," ",E11*Koeficienty!$B$25)</f>
        <v>88.22022732096569</v>
      </c>
      <c r="G11" s="29">
        <f t="shared" si="0"/>
        <v>84335.29987930848</v>
      </c>
      <c r="H11" s="28">
        <f t="shared" si="1"/>
        <v>2461.8029795223606</v>
      </c>
      <c r="I11" s="66">
        <f>IF(H11=" "," ",H11*Koeficienty!$B$25)</f>
        <v>2683.365247679373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1279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1279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84.68536859522014</v>
      </c>
      <c r="C21" s="31"/>
      <c r="D21" s="31"/>
      <c r="E21" s="22"/>
      <c r="F21" s="22"/>
      <c r="G21" s="29"/>
      <c r="H21" s="32">
        <f>B21*365/12</f>
        <v>2575.8466281046126</v>
      </c>
      <c r="I21" s="64"/>
    </row>
    <row r="22" spans="1:9" ht="12.75">
      <c r="A22" s="17" t="s">
        <v>5</v>
      </c>
      <c r="B22" s="33">
        <f>B20*B21</f>
        <v>108312.58643328656</v>
      </c>
      <c r="C22" s="34"/>
      <c r="D22" s="34"/>
      <c r="E22" s="29"/>
      <c r="F22" s="29"/>
      <c r="G22" s="35">
        <f>SUM(G8:G17)</f>
        <v>108312.58643328655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00390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36</v>
      </c>
      <c r="B2" s="12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koleje'!J3</f>
        <v>155.2800800341821</v>
      </c>
      <c r="F4" s="21"/>
      <c r="G4" s="9"/>
      <c r="H4" s="22">
        <f>E4*365/12</f>
        <v>4723.10243437304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106</v>
      </c>
      <c r="C9" s="9">
        <f>B9*1</f>
        <v>106</v>
      </c>
      <c r="D9" s="9">
        <f>Koeficienty!B4</f>
        <v>1.4375</v>
      </c>
      <c r="E9" s="28">
        <f>IF(B9&gt;0,$E$10*D9," ")</f>
        <v>176.0204773673945</v>
      </c>
      <c r="F9" s="28">
        <f>IF(E9=" "," ",E9*Koeficienty!$B$25)</f>
        <v>191.86232033046002</v>
      </c>
      <c r="G9" s="29">
        <f aca="true" t="shared" si="0" ref="G9:G17">IF(E9=" "," ",E9*C9)</f>
        <v>18658.170600943817</v>
      </c>
      <c r="H9" s="28">
        <f aca="true" t="shared" si="1" ref="H9:H17">IF(E9=" "," ",E9*365/12)</f>
        <v>5353.956186591583</v>
      </c>
      <c r="I9" s="66">
        <f>IF(H9=" "," ",H9*Koeficienty!$B$25)</f>
        <v>5835.812243384826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122.44902773383966</v>
      </c>
      <c r="F10" s="40">
        <f>IF(E10=" "," ",E10*Koeficienty!$B$25)</f>
        <v>133.46944022988524</v>
      </c>
      <c r="G10" s="29">
        <f t="shared" si="0"/>
        <v>0</v>
      </c>
      <c r="H10" s="40">
        <f t="shared" si="1"/>
        <v>3724.491260237623</v>
      </c>
      <c r="I10" s="69">
        <f>IF(H10=" "," ",H10*Koeficienty!$B$25)</f>
        <v>4059.695473659009</v>
      </c>
    </row>
    <row r="11" spans="1:9" ht="12.75">
      <c r="A11" s="27" t="s">
        <v>62</v>
      </c>
      <c r="B11" s="9">
        <v>76</v>
      </c>
      <c r="C11" s="9">
        <f>B11*2</f>
        <v>152</v>
      </c>
      <c r="D11" s="9">
        <f>Koeficienty!B8</f>
        <v>1.15</v>
      </c>
      <c r="E11" s="28">
        <f aca="true" t="shared" si="2" ref="E11:E17">IF(B11&gt;0,$E$10*D11," ")</f>
        <v>140.8163818939156</v>
      </c>
      <c r="F11" s="28">
        <f>IF(E11=" "," ",E11*Koeficienty!$B$25)</f>
        <v>153.48985626436803</v>
      </c>
      <c r="G11" s="29">
        <f t="shared" si="0"/>
        <v>21404.090047875172</v>
      </c>
      <c r="H11" s="28">
        <f t="shared" si="1"/>
        <v>4283.164949273266</v>
      </c>
      <c r="I11" s="66">
        <f>IF(H11=" "," ",H11*Koeficienty!$B$25)</f>
        <v>4668.649794707861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258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258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155.2800800341821</v>
      </c>
      <c r="C21" s="31"/>
      <c r="D21" s="31"/>
      <c r="E21" s="22"/>
      <c r="F21" s="22"/>
      <c r="G21" s="29"/>
      <c r="H21" s="32">
        <f>B21*365/12</f>
        <v>4723.10243437304</v>
      </c>
      <c r="I21" s="64"/>
    </row>
    <row r="22" spans="1:9" ht="12.75">
      <c r="A22" s="17" t="s">
        <v>5</v>
      </c>
      <c r="B22" s="33">
        <f>B20*B21</f>
        <v>40062.260648818985</v>
      </c>
      <c r="C22" s="34"/>
      <c r="D22" s="34"/>
      <c r="E22" s="29"/>
      <c r="F22" s="29"/>
      <c r="G22" s="35">
        <f>SUM(G8:G17)</f>
        <v>40062.26064881899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38</v>
      </c>
      <c r="B2" s="12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koleje'!K3</f>
        <v>72.37201344248741</v>
      </c>
      <c r="F4" s="21"/>
      <c r="G4" s="9"/>
      <c r="H4" s="22">
        <f>E4*365/12</f>
        <v>2201.3154088756587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20</v>
      </c>
      <c r="C10" s="9">
        <f>B10*2</f>
        <v>40</v>
      </c>
      <c r="D10" s="9">
        <f>Koeficienty!B6</f>
        <v>1</v>
      </c>
      <c r="E10" s="28">
        <f>B22/(C8*D8+C9*D9+C10*D10+C11*D11+C12*D12+C13*D13+C14*D14+C15*D15+C16*D16+C17*D17)</f>
        <v>78.3286327215444</v>
      </c>
      <c r="F10" s="28">
        <f>IF(E10=" "," ",E10*Koeficienty!$B$25)</f>
        <v>85.3782096664834</v>
      </c>
      <c r="G10" s="29">
        <f t="shared" si="0"/>
        <v>3133.145308861776</v>
      </c>
      <c r="H10" s="28">
        <f t="shared" si="1"/>
        <v>2382.4959119469754</v>
      </c>
      <c r="I10" s="66">
        <f>IF(H10=" "," ",H10*Koeficienty!$B$25)</f>
        <v>2596.9205440222036</v>
      </c>
    </row>
    <row r="11" spans="1:9" ht="12.75">
      <c r="A11" s="27" t="s">
        <v>62</v>
      </c>
      <c r="B11" s="9">
        <v>5</v>
      </c>
      <c r="C11" s="9">
        <f>B11*2</f>
        <v>10</v>
      </c>
      <c r="D11" s="9">
        <f>Koeficienty!B8</f>
        <v>1.15</v>
      </c>
      <c r="E11" s="28">
        <f aca="true" t="shared" si="2" ref="E11:E17">IF(B11&gt;0,$E$10*D11," ")</f>
        <v>90.07792762977604</v>
      </c>
      <c r="F11" s="28">
        <f>IF(E11=" "," ",E11*Koeficienty!$B$25)</f>
        <v>98.18494111645589</v>
      </c>
      <c r="G11" s="29">
        <f t="shared" si="0"/>
        <v>900.7792762977604</v>
      </c>
      <c r="H11" s="28">
        <f t="shared" si="1"/>
        <v>2739.870298739021</v>
      </c>
      <c r="I11" s="66">
        <f>IF(H11=" "," ",H11*Koeficienty!$B$25)</f>
        <v>2986.4586256255334</v>
      </c>
    </row>
    <row r="12" spans="1:9" ht="12.75">
      <c r="A12" s="27" t="s">
        <v>58</v>
      </c>
      <c r="B12" s="9">
        <v>7</v>
      </c>
      <c r="C12" s="9">
        <f>B12*3</f>
        <v>21</v>
      </c>
      <c r="D12" s="9">
        <f>Koeficienty!B10</f>
        <v>0.8</v>
      </c>
      <c r="E12" s="28">
        <f t="shared" si="2"/>
        <v>62.66290617723552</v>
      </c>
      <c r="F12" s="28">
        <f>IF(E12=" "," ",E12*Koeficienty!$B$25)</f>
        <v>68.30256773318672</v>
      </c>
      <c r="G12" s="29">
        <f t="shared" si="0"/>
        <v>1315.9210297219458</v>
      </c>
      <c r="H12" s="28">
        <f t="shared" si="1"/>
        <v>1905.9967295575805</v>
      </c>
      <c r="I12" s="66">
        <f>IF(H12=" "," ",H12*Koeficienty!$B$25)</f>
        <v>2077.536435217763</v>
      </c>
    </row>
    <row r="13" spans="1:9" ht="12.75">
      <c r="A13" s="27" t="s">
        <v>63</v>
      </c>
      <c r="B13" s="9">
        <v>1</v>
      </c>
      <c r="C13" s="9">
        <f>B13*3</f>
        <v>3</v>
      </c>
      <c r="D13" s="9">
        <f>Koeficienty!B12</f>
        <v>0.9199999999999999</v>
      </c>
      <c r="E13" s="28">
        <f t="shared" si="2"/>
        <v>72.06234210382084</v>
      </c>
      <c r="F13" s="28">
        <f>IF(E13=" "," ",E13*Koeficienty!$B$25)</f>
        <v>78.54795289316472</v>
      </c>
      <c r="G13" s="29">
        <f t="shared" si="0"/>
        <v>216.18702631146252</v>
      </c>
      <c r="H13" s="28">
        <f t="shared" si="1"/>
        <v>2191.896238991217</v>
      </c>
      <c r="I13" s="66">
        <f>IF(H13=" "," ",H13*Koeficienty!$B$25)</f>
        <v>2389.166900500427</v>
      </c>
    </row>
    <row r="14" spans="1:9" ht="12.75">
      <c r="A14" s="27" t="s">
        <v>59</v>
      </c>
      <c r="B14" s="9">
        <v>3</v>
      </c>
      <c r="C14" s="9">
        <f>B14*4</f>
        <v>12</v>
      </c>
      <c r="D14" s="9">
        <f>Koeficienty!B14</f>
        <v>0.7</v>
      </c>
      <c r="E14" s="28">
        <f t="shared" si="2"/>
        <v>54.83004290508107</v>
      </c>
      <c r="F14" s="28">
        <f>IF(E14=" "," ",E14*Koeficienty!$B$25)</f>
        <v>59.76474676653837</v>
      </c>
      <c r="G14" s="29">
        <f t="shared" si="0"/>
        <v>657.9605148609728</v>
      </c>
      <c r="H14" s="28">
        <f t="shared" si="1"/>
        <v>1667.7471383628827</v>
      </c>
      <c r="I14" s="66">
        <f>IF(H14=" "," ",H14*Koeficienty!$B$25)</f>
        <v>1817.8443808155423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86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86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72.37201344248741</v>
      </c>
      <c r="C21" s="31"/>
      <c r="D21" s="31"/>
      <c r="E21" s="22"/>
      <c r="F21" s="22"/>
      <c r="G21" s="29"/>
      <c r="H21" s="32">
        <f>B21*365/12</f>
        <v>2201.3154088756587</v>
      </c>
      <c r="I21" s="64"/>
    </row>
    <row r="22" spans="1:9" ht="12.75">
      <c r="A22" s="17" t="s">
        <v>5</v>
      </c>
      <c r="B22" s="33">
        <f>B20*B21</f>
        <v>6223.993156053918</v>
      </c>
      <c r="C22" s="34"/>
      <c r="D22" s="34"/>
      <c r="E22" s="29"/>
      <c r="F22" s="29"/>
      <c r="G22" s="35">
        <f>SUM(G8:G17)</f>
        <v>6223.993156053917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71093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39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koleje'!L3</f>
        <v>72.66607456710521</v>
      </c>
      <c r="F4" s="21"/>
      <c r="G4" s="9"/>
      <c r="H4" s="22">
        <f>E4*365/12</f>
        <v>2210.2597680827835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78</v>
      </c>
      <c r="C10" s="9">
        <f>B10*2</f>
        <v>156</v>
      </c>
      <c r="D10" s="9">
        <f>Koeficienty!B6</f>
        <v>1</v>
      </c>
      <c r="E10" s="28">
        <f>B22/(C8*D8+C9*D9+C10*D10+C11*D11+C12*D12+C13*D13+C14*D14+C15*D15+C16*D16+C17*D17)</f>
        <v>72.66607456710521</v>
      </c>
      <c r="F10" s="28">
        <f>IF(E10=" "," ",E10*Koeficienty!$B$25)</f>
        <v>79.20602127814469</v>
      </c>
      <c r="G10" s="29">
        <f t="shared" si="0"/>
        <v>11335.907632468414</v>
      </c>
      <c r="H10" s="28">
        <f t="shared" si="1"/>
        <v>2210.2597680827835</v>
      </c>
      <c r="I10" s="66">
        <f>IF(H10=" "," ",H10*Koeficienty!$B$25)</f>
        <v>2409.183147210234</v>
      </c>
    </row>
    <row r="11" spans="1:9" ht="12.75">
      <c r="A11" s="27" t="s">
        <v>62</v>
      </c>
      <c r="B11" s="9"/>
      <c r="C11" s="9">
        <f>B11*2</f>
        <v>0</v>
      </c>
      <c r="D11" s="9">
        <f>Koeficienty!B8</f>
        <v>1.15</v>
      </c>
      <c r="E11" s="28" t="str">
        <f aca="true" t="shared" si="2" ref="E11:E17">IF(B11&gt;0,$E$10*D11," ")</f>
        <v> </v>
      </c>
      <c r="F11" s="28" t="str">
        <f>IF(E11=" "," ",E11*Koeficienty!$B$25)</f>
        <v> </v>
      </c>
      <c r="G11" s="29" t="str">
        <f t="shared" si="0"/>
        <v> </v>
      </c>
      <c r="H11" s="28" t="str">
        <f t="shared" si="1"/>
        <v> </v>
      </c>
      <c r="I11" s="66" t="str">
        <f>IF(H11=" "," ",H11*Koeficienty!$B$25)</f>
        <v> 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156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156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72.66607456710521</v>
      </c>
      <c r="C21" s="31"/>
      <c r="D21" s="31"/>
      <c r="E21" s="22"/>
      <c r="F21" s="22"/>
      <c r="G21" s="29"/>
      <c r="H21" s="32">
        <f>B21*365/12</f>
        <v>2210.2597680827835</v>
      </c>
      <c r="I21" s="64"/>
    </row>
    <row r="22" spans="1:9" ht="12.75">
      <c r="A22" s="17" t="s">
        <v>5</v>
      </c>
      <c r="B22" s="33">
        <f>B20*B21</f>
        <v>11335.907632468414</v>
      </c>
      <c r="C22" s="34"/>
      <c r="D22" s="34"/>
      <c r="E22" s="29"/>
      <c r="F22" s="29"/>
      <c r="G22" s="35">
        <f>SUM(G8:G17)</f>
        <v>11335.907632468414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10.0039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57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40</v>
      </c>
      <c r="B2" s="12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koleje'!M3</f>
        <v>94.61742908602591</v>
      </c>
      <c r="F4" s="21"/>
      <c r="G4" s="9"/>
      <c r="H4" s="22">
        <f>E4*365/12</f>
        <v>2877.9468013666215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82.27602529219644</v>
      </c>
      <c r="F10" s="40">
        <f>IF(E10=" "," ",E10*Koeficienty!$B$25)</f>
        <v>89.68086756849412</v>
      </c>
      <c r="G10" s="29">
        <f t="shared" si="0"/>
        <v>0</v>
      </c>
      <c r="H10" s="40">
        <f t="shared" si="1"/>
        <v>2502.562435970975</v>
      </c>
      <c r="I10" s="69">
        <f>IF(H10=" "," ",H10*Koeficienty!$B$25)</f>
        <v>2727.793055208363</v>
      </c>
    </row>
    <row r="11" spans="1:9" ht="12.75">
      <c r="A11" s="27" t="s">
        <v>62</v>
      </c>
      <c r="B11" s="9">
        <v>736</v>
      </c>
      <c r="C11" s="9">
        <f>B11*2</f>
        <v>1472</v>
      </c>
      <c r="D11" s="9">
        <f>Koeficienty!B8</f>
        <v>1.15</v>
      </c>
      <c r="E11" s="28">
        <f aca="true" t="shared" si="2" ref="E11:E17">IF(B11&gt;0,$E$10*D11," ")</f>
        <v>94.6174290860259</v>
      </c>
      <c r="F11" s="28">
        <f>IF(E11=" "," ",E11*Koeficienty!$B$25)</f>
        <v>103.13299770376823</v>
      </c>
      <c r="G11" s="29">
        <f t="shared" si="0"/>
        <v>139276.85561463013</v>
      </c>
      <c r="H11" s="28">
        <f t="shared" si="1"/>
        <v>2877.946801366621</v>
      </c>
      <c r="I11" s="66">
        <f>IF(H11=" "," ",H11*Koeficienty!$B$25)</f>
        <v>3136.962013489617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1472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1472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94.61742908602591</v>
      </c>
      <c r="C21" s="31"/>
      <c r="D21" s="31"/>
      <c r="E21" s="22"/>
      <c r="F21" s="22"/>
      <c r="G21" s="29"/>
      <c r="H21" s="32">
        <f>B21*365/12</f>
        <v>2877.9468013666215</v>
      </c>
      <c r="I21" s="64"/>
    </row>
    <row r="22" spans="1:9" ht="12.75">
      <c r="A22" s="17" t="s">
        <v>5</v>
      </c>
      <c r="B22" s="33">
        <f>B20*B21</f>
        <v>139276.85561463013</v>
      </c>
      <c r="C22" s="34"/>
      <c r="D22" s="34"/>
      <c r="E22" s="29"/>
      <c r="F22" s="29"/>
      <c r="G22" s="35">
        <f>SUM(G8:G17)</f>
        <v>139276.85561463013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9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10.1406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71093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41" t="s">
        <v>42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koleje'!N3</f>
        <v>70.28324855012515</v>
      </c>
      <c r="F4" s="21"/>
      <c r="G4" s="9"/>
      <c r="H4" s="22">
        <f>E4*365/12</f>
        <v>2137.78214339964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6</v>
      </c>
      <c r="C9" s="9">
        <f>B9*1</f>
        <v>6</v>
      </c>
      <c r="D9" s="9">
        <f>Koeficienty!B4</f>
        <v>1.4375</v>
      </c>
      <c r="E9" s="28">
        <f>IF(B9&gt;0,$E$10*D9," ")</f>
        <v>95.80968643639261</v>
      </c>
      <c r="F9" s="28">
        <f>IF(E9=" "," ",E9*Koeficienty!$B$25)</f>
        <v>104.43255821566795</v>
      </c>
      <c r="G9" s="29">
        <f aca="true" t="shared" si="0" ref="G9:G17">IF(E9=" "," ",E9*C9)</f>
        <v>574.8581186183557</v>
      </c>
      <c r="H9" s="28">
        <f aca="true" t="shared" si="1" ref="H9:H17">IF(E9=" "," ",E9*365/12)</f>
        <v>2914.2112957736085</v>
      </c>
      <c r="I9" s="66">
        <f>IF(H9=" "," ",H9*Koeficienty!$B$25)</f>
        <v>3176.4903123932336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66.65021665140355</v>
      </c>
      <c r="F10" s="40">
        <f>IF(E10=" "," ",E10*Koeficienty!$B$25)</f>
        <v>72.64873615002988</v>
      </c>
      <c r="G10" s="29">
        <f t="shared" si="0"/>
        <v>0</v>
      </c>
      <c r="H10" s="40">
        <f t="shared" si="1"/>
        <v>2027.2774231468582</v>
      </c>
      <c r="I10" s="69">
        <f>IF(H10=" "," ",H10*Koeficienty!$B$25)</f>
        <v>2209.7323912300753</v>
      </c>
    </row>
    <row r="11" spans="1:9" ht="12.75">
      <c r="A11" s="27" t="s">
        <v>62</v>
      </c>
      <c r="B11" s="9">
        <v>550</v>
      </c>
      <c r="C11" s="9">
        <f>B11*2</f>
        <v>1100</v>
      </c>
      <c r="D11" s="9">
        <f>Koeficienty!B8</f>
        <v>1.15</v>
      </c>
      <c r="E11" s="28">
        <f aca="true" t="shared" si="2" ref="E11:E17">IF(B11&gt;0,$E$10*D11," ")</f>
        <v>76.64774914911408</v>
      </c>
      <c r="F11" s="28">
        <f>IF(E11=" "," ",E11*Koeficienty!$B$25)</f>
        <v>83.54604657253435</v>
      </c>
      <c r="G11" s="29">
        <f t="shared" si="0"/>
        <v>84312.52406402548</v>
      </c>
      <c r="H11" s="28">
        <f t="shared" si="1"/>
        <v>2331.3690366188866</v>
      </c>
      <c r="I11" s="66">
        <f>IF(H11=" "," ",H11*Koeficienty!$B$25)</f>
        <v>2541.1922499145867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>
        <v>266</v>
      </c>
      <c r="C13" s="9">
        <f>B13*3</f>
        <v>798</v>
      </c>
      <c r="D13" s="9">
        <f>Koeficienty!B12</f>
        <v>0.9199999999999999</v>
      </c>
      <c r="E13" s="28">
        <f t="shared" si="2"/>
        <v>61.31819931929127</v>
      </c>
      <c r="F13" s="28">
        <f>IF(E13=" "," ",E13*Koeficienty!$B$25)</f>
        <v>66.83683725802749</v>
      </c>
      <c r="G13" s="29">
        <f t="shared" si="0"/>
        <v>48931.92305679443</v>
      </c>
      <c r="H13" s="28">
        <f t="shared" si="1"/>
        <v>1865.0952292951094</v>
      </c>
      <c r="I13" s="66">
        <f>IF(H13=" "," ",H13*Koeficienty!$B$25)</f>
        <v>2032.9537999316694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1904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1904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70.28324855012515</v>
      </c>
      <c r="C21" s="31"/>
      <c r="D21" s="31"/>
      <c r="E21" s="22"/>
      <c r="F21" s="22"/>
      <c r="G21" s="29"/>
      <c r="H21" s="32">
        <f>B21*365/12</f>
        <v>2137.78214339964</v>
      </c>
      <c r="I21" s="64"/>
    </row>
    <row r="22" spans="1:9" ht="12.75">
      <c r="A22" s="17" t="s">
        <v>5</v>
      </c>
      <c r="B22" s="33">
        <f>B20*B21</f>
        <v>133819.30523943828</v>
      </c>
      <c r="C22" s="34"/>
      <c r="D22" s="34"/>
      <c r="E22" s="29"/>
      <c r="F22" s="29"/>
      <c r="G22" s="35">
        <f>SUM(G8:G17)</f>
        <v>133819.30523943825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0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41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koleje'!O3</f>
        <v>84.4073714506621</v>
      </c>
      <c r="F4" s="21"/>
      <c r="G4" s="9"/>
      <c r="H4" s="22">
        <f>E4*365/12</f>
        <v>2567.390881624305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22</v>
      </c>
      <c r="C9" s="9">
        <f>B9*1</f>
        <v>22</v>
      </c>
      <c r="D9" s="9">
        <f>Koeficienty!B4</f>
        <v>1.4375</v>
      </c>
      <c r="E9" s="28">
        <f>IF(B9&gt;0,$E$10*D9," ")</f>
        <v>107.19379719355894</v>
      </c>
      <c r="F9" s="28">
        <f>IF(E9=" "," ",E9*Koeficienty!$B$25)</f>
        <v>116.84123894097925</v>
      </c>
      <c r="G9" s="29">
        <f aca="true" t="shared" si="0" ref="G9:G17">IF(E9=" "," ",E9*C9)</f>
        <v>2358.2635382582966</v>
      </c>
      <c r="H9" s="28">
        <f aca="true" t="shared" si="1" ref="H9:H17">IF(E9=" "," ",E9*365/12)</f>
        <v>3260.477997970751</v>
      </c>
      <c r="I9" s="66">
        <f>IF(H9=" "," ",H9*Koeficienty!$B$25)</f>
        <v>3553.9210177881187</v>
      </c>
    </row>
    <row r="10" spans="1:9" ht="12.75">
      <c r="A10" s="27" t="s">
        <v>57</v>
      </c>
      <c r="B10" s="9">
        <v>80</v>
      </c>
      <c r="C10" s="9">
        <f>B10*2</f>
        <v>160</v>
      </c>
      <c r="D10" s="9">
        <f>Koeficienty!B6</f>
        <v>1</v>
      </c>
      <c r="E10" s="28">
        <f>B22/(C8*D8+C9*D9+C10*D10+C11*D11+C12*D12+C13*D13+C14*D14+C15*D15+C16*D16+C17*D17)</f>
        <v>74.56959804769318</v>
      </c>
      <c r="F10" s="28">
        <f>IF(E10=" "," ",E10*Koeficienty!$B$25)</f>
        <v>81.28086187198556</v>
      </c>
      <c r="G10" s="29">
        <f t="shared" si="0"/>
        <v>11931.135687630907</v>
      </c>
      <c r="H10" s="28">
        <f t="shared" si="1"/>
        <v>2268.158607284001</v>
      </c>
      <c r="I10" s="66">
        <f>IF(H10=" "," ",H10*Koeficienty!$B$25)</f>
        <v>2472.292881939561</v>
      </c>
    </row>
    <row r="11" spans="1:9" ht="12.75">
      <c r="A11" s="27" t="s">
        <v>62</v>
      </c>
      <c r="B11" s="9">
        <v>398</v>
      </c>
      <c r="C11" s="9">
        <f>B11*2</f>
        <v>796</v>
      </c>
      <c r="D11" s="9">
        <f>Koeficienty!B8</f>
        <v>1.15</v>
      </c>
      <c r="E11" s="28">
        <f aca="true" t="shared" si="2" ref="E11:E17">IF(B11&gt;0,$E$10*D11," ")</f>
        <v>85.75503775484715</v>
      </c>
      <c r="F11" s="28">
        <f>IF(E11=" "," ",E11*Koeficienty!$B$25)</f>
        <v>93.47299115278341</v>
      </c>
      <c r="G11" s="29">
        <f t="shared" si="0"/>
        <v>68261.01005285833</v>
      </c>
      <c r="H11" s="28">
        <f t="shared" si="1"/>
        <v>2608.382398376601</v>
      </c>
      <c r="I11" s="66">
        <f>IF(H11=" "," ",H11*Koeficienty!$B$25)</f>
        <v>2843.1368142304955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978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978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84.4073714506621</v>
      </c>
      <c r="C21" s="31"/>
      <c r="D21" s="31"/>
      <c r="E21" s="22"/>
      <c r="F21" s="22"/>
      <c r="G21" s="29"/>
      <c r="H21" s="32">
        <f>B21*365/12</f>
        <v>2567.390881624305</v>
      </c>
      <c r="I21" s="64"/>
    </row>
    <row r="22" spans="1:9" ht="12.75">
      <c r="A22" s="17" t="s">
        <v>5</v>
      </c>
      <c r="B22" s="33">
        <f>B20*B21</f>
        <v>82550.40927874754</v>
      </c>
      <c r="C22" s="34"/>
      <c r="D22" s="34"/>
      <c r="E22" s="29"/>
      <c r="F22" s="29"/>
      <c r="G22" s="35">
        <f>SUM(G8:G17)</f>
        <v>82550.40927874754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1">
    <tabColor indexed="42"/>
  </sheetPr>
  <dimension ref="A1:F6"/>
  <sheetViews>
    <sheetView showZeros="0" workbookViewId="0" topLeftCell="A1">
      <pane xSplit="2" ySplit="3" topLeftCell="C4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G33" sqref="G33"/>
    </sheetView>
  </sheetViews>
  <sheetFormatPr defaultColWidth="9.140625" defaultRowHeight="12.75"/>
  <cols>
    <col min="1" max="1" width="38.8515625" style="5" customWidth="1"/>
    <col min="2" max="2" width="7.28125" style="3" customWidth="1"/>
    <col min="3" max="4" width="6.8515625" style="3" customWidth="1"/>
    <col min="5" max="5" width="9.28125" style="3" customWidth="1"/>
    <col min="6" max="6" width="9.140625" style="3" hidden="1" customWidth="1"/>
    <col min="7" max="16384" width="9.140625" style="3" customWidth="1"/>
  </cols>
  <sheetData>
    <row r="1" spans="1:6" ht="10.5" customHeight="1">
      <c r="A1" s="51" t="s">
        <v>89</v>
      </c>
      <c r="B1" s="75" t="s">
        <v>43</v>
      </c>
      <c r="C1" s="75" t="s">
        <v>44</v>
      </c>
      <c r="D1" s="75" t="s">
        <v>45</v>
      </c>
      <c r="E1" s="77" t="s">
        <v>46</v>
      </c>
      <c r="F1" s="53"/>
    </row>
    <row r="2" spans="1:6" ht="51" customHeight="1">
      <c r="A2" s="52" t="s">
        <v>24</v>
      </c>
      <c r="B2" s="76"/>
      <c r="C2" s="76"/>
      <c r="D2" s="76"/>
      <c r="E2" s="78"/>
      <c r="F2" s="54"/>
    </row>
    <row r="3" spans="1:6" s="50" customFormat="1" ht="20.25" customHeight="1" thickBot="1">
      <c r="A3" s="60" t="s">
        <v>88</v>
      </c>
      <c r="B3" s="59">
        <v>73.44638110311526</v>
      </c>
      <c r="C3" s="59">
        <v>68.23135713159459</v>
      </c>
      <c r="D3" s="59">
        <v>72.77812570158987</v>
      </c>
      <c r="E3" s="63">
        <v>71.85879444340141</v>
      </c>
      <c r="F3" s="61"/>
    </row>
    <row r="4" spans="1:5" ht="9.75" hidden="1">
      <c r="A4" s="4"/>
      <c r="B4" s="6"/>
      <c r="C4" s="6"/>
      <c r="D4" s="6"/>
      <c r="E4" s="6"/>
    </row>
    <row r="5" spans="1:5" ht="9.75" hidden="1">
      <c r="A5" s="4"/>
      <c r="B5" s="6"/>
      <c r="C5" s="6"/>
      <c r="D5" s="6"/>
      <c r="E5" s="6"/>
    </row>
    <row r="6" spans="1:5" ht="9.75" hidden="1">
      <c r="A6" s="4"/>
      <c r="B6" s="58"/>
      <c r="C6" s="58"/>
      <c r="D6" s="58"/>
      <c r="E6" s="58"/>
    </row>
    <row r="7" ht="9.75" hidden="1"/>
    <row r="8" ht="9.75" hidden="1"/>
    <row r="9" ht="9.75" hidden="1"/>
    <row r="10" ht="9.75" hidden="1"/>
    <row r="11" ht="9.75" hidden="1"/>
    <row r="12" ht="9.75" hidden="1"/>
    <row r="13" ht="9.75" hidden="1"/>
    <row r="14" ht="9.75" hidden="1"/>
    <row r="15" ht="9.75" hidden="1"/>
    <row r="16" ht="9.75" hidden="1"/>
    <row r="17" ht="9.75" hidden="1"/>
    <row r="18" ht="9.75" hidden="1"/>
    <row r="19" ht="9.75" hidden="1"/>
  </sheetData>
  <mergeCells count="4">
    <mergeCell ref="B1:B2"/>
    <mergeCell ref="C1:C2"/>
    <mergeCell ref="D1:D2"/>
    <mergeCell ref="E1:E2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&amp;C&amp;F \ &amp;A&amp;R&amp;P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A1:I32"/>
  <sheetViews>
    <sheetView zoomScale="85" zoomScaleNormal="85" workbookViewId="0" topLeftCell="A2">
      <selection activeCell="K23" sqref="K23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53</v>
      </c>
      <c r="B2" s="12"/>
      <c r="C2" s="39"/>
      <c r="D2" s="39"/>
      <c r="E2" s="14" t="s">
        <v>70</v>
      </c>
      <c r="F2" s="14"/>
      <c r="G2" s="15"/>
      <c r="H2" s="14" t="s">
        <v>71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'Plzeňské koleje'!B3</f>
        <v>73.44638110311526</v>
      </c>
      <c r="F4" s="21"/>
      <c r="G4" s="9"/>
      <c r="H4" s="22">
        <f>E4*365/12</f>
        <v>2233.9940918864227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2</v>
      </c>
      <c r="C9" s="9">
        <f>B9*1</f>
        <v>2</v>
      </c>
      <c r="D9" s="9">
        <f>Koeficienty!B4</f>
        <v>1.4375</v>
      </c>
      <c r="E9" s="28">
        <f>IF(B9&gt;0,$E$10*D9," ")</f>
        <v>95.59082824862338</v>
      </c>
      <c r="F9" s="28">
        <f>IF(E9=" "," ",E9*Koeficienty!$B$25)</f>
        <v>104.19400279099949</v>
      </c>
      <c r="G9" s="29">
        <f aca="true" t="shared" si="0" ref="G9:G17">IF(E9=" "," ",E9*C9)</f>
        <v>191.18165649724676</v>
      </c>
      <c r="H9" s="28">
        <f aca="true" t="shared" si="1" ref="H9:H17">IF(E9=" "," ",E9*365/12)</f>
        <v>2907.5543592289614</v>
      </c>
      <c r="I9" s="66">
        <f>IF(H9=" "," ",H9*Koeficienty!$B$25)</f>
        <v>3169.2342515595683</v>
      </c>
    </row>
    <row r="10" spans="1:9" ht="12.75">
      <c r="A10" s="27" t="s">
        <v>57</v>
      </c>
      <c r="B10" s="9">
        <v>1</v>
      </c>
      <c r="C10" s="9">
        <f>B10*2</f>
        <v>2</v>
      </c>
      <c r="D10" s="9">
        <f>Koeficienty!B6</f>
        <v>1</v>
      </c>
      <c r="E10" s="28">
        <f>B22/(C8*D8+C9*D9+C10*D10+C11*D11+C12*D12+C13*D13+C14*D14+C15*D15+C16*D16+C17*D17)</f>
        <v>66.49796747730322</v>
      </c>
      <c r="F10" s="40">
        <f>IF(E10=" "," ",E10*Koeficienty!$B$25)</f>
        <v>72.48278455026052</v>
      </c>
      <c r="G10" s="29">
        <f t="shared" si="0"/>
        <v>132.99593495460644</v>
      </c>
      <c r="H10" s="40">
        <f t="shared" si="1"/>
        <v>2022.646510767973</v>
      </c>
      <c r="I10" s="69">
        <f>IF(H10=" "," ",H10*Koeficienty!$B$25)</f>
        <v>2204.6846967370907</v>
      </c>
    </row>
    <row r="11" spans="1:9" ht="12.75">
      <c r="A11" s="27" t="s">
        <v>62</v>
      </c>
      <c r="B11" s="9">
        <v>165</v>
      </c>
      <c r="C11" s="9">
        <f>B11*2</f>
        <v>330</v>
      </c>
      <c r="D11" s="9">
        <f>Koeficienty!B8</f>
        <v>1.15</v>
      </c>
      <c r="E11" s="28">
        <f aca="true" t="shared" si="2" ref="E11:E17">IF(B11&gt;0,$E$10*D11," ")</f>
        <v>76.4726625988987</v>
      </c>
      <c r="F11" s="28">
        <f>IF(E11=" "," ",E11*Koeficienty!$B$25)</f>
        <v>83.35520223279958</v>
      </c>
      <c r="G11" s="29">
        <f t="shared" si="0"/>
        <v>25235.97865763657</v>
      </c>
      <c r="H11" s="28">
        <f t="shared" si="1"/>
        <v>2326.0434873831687</v>
      </c>
      <c r="I11" s="66">
        <f>IF(H11=" "," ",H11*Koeficienty!$B$25)</f>
        <v>2535.387401247654</v>
      </c>
    </row>
    <row r="12" spans="1:9" ht="12.75">
      <c r="A12" s="27" t="s">
        <v>58</v>
      </c>
      <c r="B12" s="9">
        <v>1</v>
      </c>
      <c r="C12" s="9">
        <f>B12*3</f>
        <v>3</v>
      </c>
      <c r="D12" s="9">
        <f>Koeficienty!B10</f>
        <v>0.8</v>
      </c>
      <c r="E12" s="28">
        <f t="shared" si="2"/>
        <v>53.19837398184258</v>
      </c>
      <c r="F12" s="28">
        <f>IF(E12=" "," ",E12*Koeficienty!$B$25)</f>
        <v>57.98622764020841</v>
      </c>
      <c r="G12" s="29">
        <f t="shared" si="0"/>
        <v>159.59512194552775</v>
      </c>
      <c r="H12" s="28">
        <f t="shared" si="1"/>
        <v>1618.1172086143786</v>
      </c>
      <c r="I12" s="66">
        <f>IF(H12=" "," ",H12*Koeficienty!$B$25)</f>
        <v>1763.7477573896729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>
        <v>9</v>
      </c>
      <c r="C14" s="9">
        <f>B14*4</f>
        <v>36</v>
      </c>
      <c r="D14" s="9">
        <f>Koeficienty!B14</f>
        <v>0.7</v>
      </c>
      <c r="E14" s="28">
        <f t="shared" si="2"/>
        <v>46.54857723411225</v>
      </c>
      <c r="F14" s="28">
        <f>IF(E14=" "," ",E14*Koeficienty!$B$25)</f>
        <v>50.73794918518236</v>
      </c>
      <c r="G14" s="29">
        <f t="shared" si="0"/>
        <v>1675.748780428041</v>
      </c>
      <c r="H14" s="28">
        <f t="shared" si="1"/>
        <v>1415.8525575375809</v>
      </c>
      <c r="I14" s="66">
        <f>IF(H14=" "," ",H14*Koeficienty!$B$25)</f>
        <v>1543.2792877159632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373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373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73.44638110311526</v>
      </c>
      <c r="C21" s="31"/>
      <c r="D21" s="31"/>
      <c r="E21" s="22"/>
      <c r="F21" s="22"/>
      <c r="G21" s="29"/>
      <c r="H21" s="32">
        <f>B21*365/12</f>
        <v>2233.9940918864227</v>
      </c>
      <c r="I21" s="64"/>
    </row>
    <row r="22" spans="1:9" ht="12.75">
      <c r="A22" s="17" t="s">
        <v>5</v>
      </c>
      <c r="B22" s="33">
        <f>B20*B21</f>
        <v>27395.50015146199</v>
      </c>
      <c r="C22" s="34"/>
      <c r="D22" s="34"/>
      <c r="E22" s="29"/>
      <c r="F22" s="29"/>
      <c r="G22" s="35">
        <f>SUM(G8:G17)</f>
        <v>27395.500151461994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A1:I32"/>
  <sheetViews>
    <sheetView zoomScale="85" zoomScaleNormal="85" workbookViewId="0" topLeftCell="A2">
      <selection activeCell="M21" sqref="M21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00390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54</v>
      </c>
      <c r="B2" s="12"/>
      <c r="C2" s="39"/>
      <c r="D2" s="39"/>
      <c r="E2" s="14" t="s">
        <v>70</v>
      </c>
      <c r="F2" s="14"/>
      <c r="G2" s="15"/>
      <c r="H2" s="14" t="s">
        <v>71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'Plzeňské koleje'!C3</f>
        <v>68.23135713159459</v>
      </c>
      <c r="F4" s="21"/>
      <c r="G4" s="9"/>
      <c r="H4" s="22">
        <f>E4*365/12</f>
        <v>2075.370446086002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66.33141216017256</v>
      </c>
      <c r="F10" s="40">
        <f>IF(E10=" "," ",E10*Koeficienty!$B$25)</f>
        <v>72.3012392545881</v>
      </c>
      <c r="G10" s="29">
        <f t="shared" si="0"/>
        <v>0</v>
      </c>
      <c r="H10" s="40">
        <f t="shared" si="1"/>
        <v>2017.580453205249</v>
      </c>
      <c r="I10" s="69">
        <f>IF(H10=" "," ",H10*Koeficienty!$B$25)</f>
        <v>2199.1626939937214</v>
      </c>
    </row>
    <row r="11" spans="1:9" ht="12.75">
      <c r="A11" s="27" t="s">
        <v>62</v>
      </c>
      <c r="B11" s="9">
        <v>47</v>
      </c>
      <c r="C11" s="9">
        <f>B11*2</f>
        <v>94</v>
      </c>
      <c r="D11" s="9">
        <f>Koeficienty!B8</f>
        <v>1.15</v>
      </c>
      <c r="E11" s="28">
        <f aca="true" t="shared" si="2" ref="E11:E17">IF(B11&gt;0,$E$10*D11," ")</f>
        <v>76.28112398419844</v>
      </c>
      <c r="F11" s="28">
        <f>IF(E11=" "," ",E11*Koeficienty!$B$25)</f>
        <v>83.14642514277631</v>
      </c>
      <c r="G11" s="29">
        <f t="shared" si="0"/>
        <v>7170.425654514654</v>
      </c>
      <c r="H11" s="28">
        <f t="shared" si="1"/>
        <v>2320.2175211860363</v>
      </c>
      <c r="I11" s="66">
        <f>IF(H11=" "," ",H11*Koeficienty!$B$25)</f>
        <v>2529.0370980927796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>
        <v>35</v>
      </c>
      <c r="C13" s="9">
        <f>B13*3</f>
        <v>105</v>
      </c>
      <c r="D13" s="9">
        <f>Koeficienty!B12</f>
        <v>0.9199999999999999</v>
      </c>
      <c r="E13" s="28">
        <f t="shared" si="2"/>
        <v>61.02489918735875</v>
      </c>
      <c r="F13" s="28">
        <f>IF(E13=" "," ",E13*Koeficienty!$B$25)</f>
        <v>66.51714011422104</v>
      </c>
      <c r="G13" s="29">
        <f t="shared" si="0"/>
        <v>6407.614414672668</v>
      </c>
      <c r="H13" s="28">
        <f t="shared" si="1"/>
        <v>1856.1740169488285</v>
      </c>
      <c r="I13" s="66">
        <f>IF(H13=" "," ",H13*Koeficienty!$B$25)</f>
        <v>2023.2296784742232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199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199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68.23135713159459</v>
      </c>
      <c r="C21" s="31"/>
      <c r="D21" s="31"/>
      <c r="E21" s="22"/>
      <c r="F21" s="22"/>
      <c r="G21" s="29"/>
      <c r="H21" s="32">
        <f>B21*365/12</f>
        <v>2075.370446086002</v>
      </c>
      <c r="I21" s="64"/>
    </row>
    <row r="22" spans="1:9" ht="12.75">
      <c r="A22" s="17" t="s">
        <v>5</v>
      </c>
      <c r="B22" s="33">
        <f>B20*B21</f>
        <v>13578.040069187324</v>
      </c>
      <c r="C22" s="34"/>
      <c r="D22" s="34"/>
      <c r="E22" s="29"/>
      <c r="F22" s="29"/>
      <c r="G22" s="35">
        <f>SUM(G8:G17)</f>
        <v>13578.040069187322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42"/>
  </sheetPr>
  <dimension ref="A1:P6"/>
  <sheetViews>
    <sheetView showZeros="0" zoomScale="115" zoomScaleNormal="115" workbookViewId="0" topLeftCell="A1">
      <pane xSplit="2" ySplit="3" topLeftCell="E4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I14" sqref="I14"/>
    </sheetView>
  </sheetViews>
  <sheetFormatPr defaultColWidth="9.140625" defaultRowHeight="12.75"/>
  <cols>
    <col min="1" max="1" width="20.7109375" style="5" customWidth="1"/>
    <col min="2" max="5" width="7.8515625" style="3" customWidth="1"/>
    <col min="6" max="6" width="8.140625" style="3" customWidth="1"/>
    <col min="7" max="16" width="7.28125" style="3" customWidth="1"/>
    <col min="17" max="17" width="9.140625" style="3" hidden="1" customWidth="1"/>
    <col min="18" max="16384" width="9.140625" style="3" customWidth="1"/>
  </cols>
  <sheetData>
    <row r="1" spans="1:16" ht="10.5" customHeight="1">
      <c r="A1" s="51" t="s">
        <v>87</v>
      </c>
      <c r="B1" s="75" t="s">
        <v>9</v>
      </c>
      <c r="C1" s="75" t="s">
        <v>10</v>
      </c>
      <c r="D1" s="75" t="s">
        <v>11</v>
      </c>
      <c r="E1" s="79" t="s">
        <v>12</v>
      </c>
      <c r="F1" s="79" t="s">
        <v>13</v>
      </c>
      <c r="G1" s="75" t="s">
        <v>14</v>
      </c>
      <c r="H1" s="75" t="s">
        <v>15</v>
      </c>
      <c r="I1" s="79" t="s">
        <v>16</v>
      </c>
      <c r="J1" s="79" t="s">
        <v>17</v>
      </c>
      <c r="K1" s="75" t="s">
        <v>18</v>
      </c>
      <c r="L1" s="75" t="s">
        <v>19</v>
      </c>
      <c r="M1" s="75" t="s">
        <v>20</v>
      </c>
      <c r="N1" s="79" t="s">
        <v>21</v>
      </c>
      <c r="O1" s="75" t="s">
        <v>22</v>
      </c>
      <c r="P1" s="77" t="s">
        <v>23</v>
      </c>
    </row>
    <row r="2" spans="1:16" ht="51.75" customHeight="1">
      <c r="A2" s="52" t="s">
        <v>24</v>
      </c>
      <c r="B2" s="76"/>
      <c r="C2" s="76"/>
      <c r="D2" s="76"/>
      <c r="E2" s="80"/>
      <c r="F2" s="80"/>
      <c r="G2" s="76"/>
      <c r="H2" s="76"/>
      <c r="I2" s="80"/>
      <c r="J2" s="80"/>
      <c r="K2" s="76"/>
      <c r="L2" s="76"/>
      <c r="M2" s="76"/>
      <c r="N2" s="80"/>
      <c r="O2" s="76"/>
      <c r="P2" s="78"/>
    </row>
    <row r="3" spans="1:16" s="50" customFormat="1" ht="20.25" customHeight="1" thickBot="1">
      <c r="A3" s="60" t="s">
        <v>88</v>
      </c>
      <c r="B3" s="59">
        <v>84.24249068313537</v>
      </c>
      <c r="C3" s="59">
        <v>132.10427239847027</v>
      </c>
      <c r="D3" s="59">
        <v>101.27650112336997</v>
      </c>
      <c r="E3" s="59">
        <v>90.90932973484428</v>
      </c>
      <c r="F3" s="59">
        <v>66.59933514630836</v>
      </c>
      <c r="G3" s="59">
        <v>70.70461206803331</v>
      </c>
      <c r="H3" s="59">
        <v>70.0470672526732</v>
      </c>
      <c r="I3" s="59">
        <v>84.68536859522014</v>
      </c>
      <c r="J3" s="59">
        <v>155.2800800341821</v>
      </c>
      <c r="K3" s="59">
        <v>72.37201344248741</v>
      </c>
      <c r="L3" s="59">
        <v>72.66607456710521</v>
      </c>
      <c r="M3" s="59">
        <v>94.61742908602591</v>
      </c>
      <c r="N3" s="59">
        <v>70.28324855012515</v>
      </c>
      <c r="O3" s="59">
        <v>84.4073714506621</v>
      </c>
      <c r="P3" s="63">
        <v>81.74059527155272</v>
      </c>
    </row>
    <row r="4" spans="1:16" ht="9.7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9.7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9.75">
      <c r="A6" s="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</sheetData>
  <mergeCells count="15">
    <mergeCell ref="C1:C2"/>
    <mergeCell ref="D1:D2"/>
    <mergeCell ref="E1:E2"/>
    <mergeCell ref="H1:H2"/>
    <mergeCell ref="G1:G2"/>
    <mergeCell ref="B1:B2"/>
    <mergeCell ref="P1:P2"/>
    <mergeCell ref="N1:N2"/>
    <mergeCell ref="L1:L2"/>
    <mergeCell ref="M1:M2"/>
    <mergeCell ref="F1:F2"/>
    <mergeCell ref="O1:O2"/>
    <mergeCell ref="K1:K2"/>
    <mergeCell ref="I1:I2"/>
    <mergeCell ref="J1:J2"/>
  </mergeCells>
  <printOptions/>
  <pageMargins left="0.3937007874015748" right="0.3937007874015748" top="1.3779527559055118" bottom="0.5905511811023623" header="0.5118110236220472" footer="0.5118110236220472"/>
  <pageSetup horizontalDpi="600" verticalDpi="600" orientation="landscape" paperSize="9" r:id="rId1"/>
  <headerFooter alignWithMargins="0">
    <oddFooter>&amp;C&amp;F \ &amp;A&amp;R&amp;P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A1:I32"/>
  <sheetViews>
    <sheetView zoomScale="85" zoomScaleNormal="85" workbookViewId="0" topLeftCell="A2">
      <selection activeCell="M21" sqref="M21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55</v>
      </c>
      <c r="B2" s="12"/>
      <c r="C2" s="12"/>
      <c r="D2" s="39"/>
      <c r="E2" s="14" t="s">
        <v>70</v>
      </c>
      <c r="F2" s="14"/>
      <c r="G2" s="15"/>
      <c r="H2" s="14" t="s">
        <v>71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'Plzeňské koleje'!D3</f>
        <v>72.77812570158987</v>
      </c>
      <c r="F4" s="21"/>
      <c r="G4" s="9"/>
      <c r="H4" s="22">
        <f>E4*365/12</f>
        <v>2213.6679900900253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54</v>
      </c>
      <c r="C10" s="9">
        <f>B10*2</f>
        <v>108</v>
      </c>
      <c r="D10" s="9">
        <f>Koeficienty!B6</f>
        <v>1</v>
      </c>
      <c r="E10" s="28">
        <f>B22/(C8*D8+C9*D9+C10*D10+C11*D11+C12*D12+C13*D13+C14*D14+C15*D15+C16*D16+C17*D17)</f>
        <v>73.11044591027293</v>
      </c>
      <c r="F10" s="28">
        <f>IF(E10=" "," ",E10*Koeficienty!$B$25)</f>
        <v>79.6903860421975</v>
      </c>
      <c r="G10" s="29">
        <f t="shared" si="0"/>
        <v>7895.928158309476</v>
      </c>
      <c r="H10" s="28">
        <f t="shared" si="1"/>
        <v>2223.776063104135</v>
      </c>
      <c r="I10" s="66">
        <f>IF(H10=" "," ",H10*Koeficienty!$B$25)</f>
        <v>2423.9159087835073</v>
      </c>
    </row>
    <row r="11" spans="1:9" ht="12.75">
      <c r="A11" s="27" t="s">
        <v>62</v>
      </c>
      <c r="B11" s="9">
        <v>6</v>
      </c>
      <c r="C11" s="9">
        <f>B11*2</f>
        <v>12</v>
      </c>
      <c r="D11" s="9">
        <f>Koeficienty!B8</f>
        <v>1.15</v>
      </c>
      <c r="E11" s="28">
        <f aca="true" t="shared" si="2" ref="E11:E17">IF(B11&gt;0,$E$10*D11," ")</f>
        <v>84.07701279681386</v>
      </c>
      <c r="F11" s="28">
        <f>IF(E11=" "," ",E11*Koeficienty!$B$25)</f>
        <v>91.64394394852711</v>
      </c>
      <c r="G11" s="29">
        <f t="shared" si="0"/>
        <v>1008.9241535617664</v>
      </c>
      <c r="H11" s="28">
        <f t="shared" si="1"/>
        <v>2557.342472569755</v>
      </c>
      <c r="I11" s="66">
        <f>IF(H11=" "," ",H11*Koeficienty!$B$25)</f>
        <v>2787.503295101033</v>
      </c>
    </row>
    <row r="12" spans="1:9" ht="12.75">
      <c r="A12" s="27" t="s">
        <v>58</v>
      </c>
      <c r="B12" s="9">
        <v>4</v>
      </c>
      <c r="C12" s="9">
        <f>B12*3</f>
        <v>12</v>
      </c>
      <c r="D12" s="9">
        <f>Koeficienty!B10</f>
        <v>0.8</v>
      </c>
      <c r="E12" s="28">
        <f t="shared" si="2"/>
        <v>58.48835672821835</v>
      </c>
      <c r="F12" s="28">
        <f>IF(E12=" "," ",E12*Koeficienty!$B$25)</f>
        <v>63.75230883375801</v>
      </c>
      <c r="G12" s="29">
        <f t="shared" si="0"/>
        <v>701.8602807386202</v>
      </c>
      <c r="H12" s="28">
        <f t="shared" si="1"/>
        <v>1779.020850483308</v>
      </c>
      <c r="I12" s="66">
        <f>IF(H12=" "," ",H12*Koeficienty!$B$25)</f>
        <v>1939.132727026806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132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132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72.77812570158987</v>
      </c>
      <c r="C21" s="31"/>
      <c r="D21" s="31"/>
      <c r="E21" s="22"/>
      <c r="F21" s="22"/>
      <c r="G21" s="29"/>
      <c r="H21" s="32">
        <f>B21*365/12</f>
        <v>2213.6679900900253</v>
      </c>
      <c r="I21" s="64"/>
    </row>
    <row r="22" spans="1:9" ht="12.75">
      <c r="A22" s="17" t="s">
        <v>5</v>
      </c>
      <c r="B22" s="33">
        <f>B20*B21</f>
        <v>9606.712592609863</v>
      </c>
      <c r="C22" s="34"/>
      <c r="D22" s="34"/>
      <c r="E22" s="29"/>
      <c r="F22" s="29"/>
      <c r="G22" s="35">
        <f>SUM(G8:G17)</f>
        <v>9606.712592609862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>&amp;L&amp;D  &amp;T  J.F.&amp;C&amp;F \ &amp;A&amp;R&amp;P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2">
    <tabColor indexed="42"/>
  </sheetPr>
  <dimension ref="A1:I19"/>
  <sheetViews>
    <sheetView showZeros="0" workbookViewId="0" topLeftCell="A1">
      <pane xSplit="2" ySplit="3" topLeftCell="C4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K23" sqref="K23"/>
    </sheetView>
  </sheetViews>
  <sheetFormatPr defaultColWidth="9.140625" defaultRowHeight="12.75"/>
  <cols>
    <col min="1" max="1" width="40.28125" style="5" customWidth="1"/>
    <col min="2" max="2" width="7.28125" style="3" customWidth="1"/>
    <col min="3" max="4" width="6.8515625" style="3" customWidth="1"/>
    <col min="5" max="5" width="9.57421875" style="3" customWidth="1"/>
    <col min="6" max="8" width="9.140625" style="3" hidden="1" customWidth="1"/>
    <col min="9" max="16384" width="9.140625" style="3" customWidth="1"/>
  </cols>
  <sheetData>
    <row r="1" spans="1:6" ht="10.5" customHeight="1">
      <c r="A1" s="51" t="s">
        <v>90</v>
      </c>
      <c r="B1" s="75" t="s">
        <v>47</v>
      </c>
      <c r="C1" s="75" t="s">
        <v>48</v>
      </c>
      <c r="D1" s="75" t="s">
        <v>49</v>
      </c>
      <c r="E1" s="77" t="s">
        <v>50</v>
      </c>
      <c r="F1" s="55"/>
    </row>
    <row r="2" spans="1:6" ht="41.25" customHeight="1">
      <c r="A2" s="52" t="s">
        <v>24</v>
      </c>
      <c r="B2" s="76"/>
      <c r="C2" s="76"/>
      <c r="D2" s="76"/>
      <c r="E2" s="78"/>
      <c r="F2" s="55"/>
    </row>
    <row r="3" spans="1:6" s="50" customFormat="1" ht="20.25" customHeight="1" thickBot="1">
      <c r="A3" s="60" t="s">
        <v>88</v>
      </c>
      <c r="B3" s="59">
        <v>72.5372795260336</v>
      </c>
      <c r="C3" s="59">
        <v>69.3123994167307</v>
      </c>
      <c r="D3" s="59">
        <v>244.06909490246684</v>
      </c>
      <c r="E3" s="63">
        <v>64.01525081346821</v>
      </c>
      <c r="F3" s="62"/>
    </row>
    <row r="4" spans="1:7" ht="9.75" hidden="1">
      <c r="A4" s="4"/>
      <c r="B4" s="6"/>
      <c r="C4" s="6"/>
      <c r="D4" s="6"/>
      <c r="E4" s="6"/>
      <c r="F4" s="6"/>
      <c r="G4" s="6"/>
    </row>
    <row r="5" spans="1:7" ht="9.75" hidden="1">
      <c r="A5" s="4"/>
      <c r="B5" s="50"/>
      <c r="C5" s="50"/>
      <c r="D5" s="50"/>
      <c r="E5" s="50"/>
      <c r="F5" s="50"/>
      <c r="G5" s="50"/>
    </row>
    <row r="6" spans="1:9" ht="9.75" hidden="1">
      <c r="A6" s="4"/>
      <c r="B6" s="50"/>
      <c r="C6" s="50"/>
      <c r="D6" s="50"/>
      <c r="E6" s="50"/>
      <c r="F6" s="50"/>
      <c r="G6" s="50"/>
      <c r="H6" s="50"/>
      <c r="I6" s="50"/>
    </row>
    <row r="7" spans="2:9" ht="9.75" hidden="1">
      <c r="B7" s="50"/>
      <c r="C7" s="50"/>
      <c r="D7" s="50"/>
      <c r="E7" s="50"/>
      <c r="F7" s="50"/>
      <c r="G7" s="50"/>
      <c r="H7" s="50"/>
      <c r="I7" s="50"/>
    </row>
    <row r="8" spans="2:9" ht="9.75" hidden="1">
      <c r="B8" s="50"/>
      <c r="C8" s="50"/>
      <c r="D8" s="50"/>
      <c r="E8" s="50"/>
      <c r="F8" s="50"/>
      <c r="G8" s="50"/>
      <c r="H8" s="50"/>
      <c r="I8" s="50"/>
    </row>
    <row r="9" spans="2:9" ht="9.75" hidden="1">
      <c r="B9" s="50"/>
      <c r="C9" s="50"/>
      <c r="D9" s="50"/>
      <c r="E9" s="50"/>
      <c r="F9" s="50"/>
      <c r="G9" s="50"/>
      <c r="H9" s="50"/>
      <c r="I9" s="50"/>
    </row>
    <row r="10" spans="2:9" ht="9.75" hidden="1">
      <c r="B10" s="50"/>
      <c r="C10" s="50"/>
      <c r="D10" s="50"/>
      <c r="E10" s="50"/>
      <c r="F10" s="50"/>
      <c r="G10" s="50"/>
      <c r="H10" s="50"/>
      <c r="I10" s="50"/>
    </row>
    <row r="11" spans="2:9" ht="9.75" hidden="1">
      <c r="B11" s="50"/>
      <c r="C11" s="50"/>
      <c r="D11" s="50"/>
      <c r="E11" s="50"/>
      <c r="F11" s="50"/>
      <c r="G11" s="50"/>
      <c r="H11" s="50"/>
      <c r="I11" s="50"/>
    </row>
    <row r="12" spans="2:9" ht="9.75">
      <c r="B12" s="50"/>
      <c r="C12" s="50"/>
      <c r="D12" s="50"/>
      <c r="E12" s="50"/>
      <c r="F12" s="50"/>
      <c r="G12" s="50"/>
      <c r="H12" s="50"/>
      <c r="I12" s="50"/>
    </row>
    <row r="13" spans="2:9" ht="9.75">
      <c r="B13" s="50"/>
      <c r="C13" s="50"/>
      <c r="D13" s="50"/>
      <c r="E13" s="50"/>
      <c r="F13" s="50"/>
      <c r="G13" s="50"/>
      <c r="H13" s="50"/>
      <c r="I13" s="50"/>
    </row>
    <row r="14" spans="2:9" ht="9.75">
      <c r="B14" s="50"/>
      <c r="C14" s="50"/>
      <c r="D14" s="50"/>
      <c r="E14" s="50"/>
      <c r="F14" s="50"/>
      <c r="G14" s="50"/>
      <c r="H14" s="50"/>
      <c r="I14" s="50"/>
    </row>
    <row r="15" spans="2:9" ht="9.75">
      <c r="B15" s="50"/>
      <c r="C15" s="50"/>
      <c r="D15" s="50"/>
      <c r="E15" s="50"/>
      <c r="F15" s="50"/>
      <c r="G15" s="50"/>
      <c r="H15" s="50"/>
      <c r="I15" s="50"/>
    </row>
    <row r="16" spans="2:9" ht="9.75">
      <c r="B16" s="50"/>
      <c r="C16" s="50"/>
      <c r="D16" s="50"/>
      <c r="E16" s="50"/>
      <c r="F16" s="50"/>
      <c r="G16" s="50"/>
      <c r="H16" s="50"/>
      <c r="I16" s="50"/>
    </row>
    <row r="17" spans="2:9" ht="9.75">
      <c r="B17" s="50"/>
      <c r="C17" s="50"/>
      <c r="D17" s="50"/>
      <c r="E17" s="50"/>
      <c r="F17" s="50"/>
      <c r="G17" s="50"/>
      <c r="H17" s="50"/>
      <c r="I17" s="50"/>
    </row>
    <row r="18" spans="2:9" ht="9.75">
      <c r="B18" s="50"/>
      <c r="C18" s="50"/>
      <c r="D18" s="50"/>
      <c r="E18" s="50"/>
      <c r="F18" s="50"/>
      <c r="G18" s="50"/>
      <c r="H18" s="50"/>
      <c r="I18" s="50"/>
    </row>
    <row r="19" spans="2:9" ht="9.75">
      <c r="B19" s="50"/>
      <c r="C19" s="50"/>
      <c r="D19" s="50"/>
      <c r="E19" s="50"/>
      <c r="F19" s="50"/>
      <c r="G19" s="50"/>
      <c r="H19" s="50"/>
      <c r="I19" s="50"/>
    </row>
  </sheetData>
  <mergeCells count="4">
    <mergeCell ref="B1:B2"/>
    <mergeCell ref="C1:C2"/>
    <mergeCell ref="D1:D2"/>
    <mergeCell ref="E1:E2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&amp;C&amp;F \ &amp;A&amp;R&amp;P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6"/>
  <dimension ref="A1:I32"/>
  <sheetViews>
    <sheetView zoomScale="85" zoomScaleNormal="85" workbookViewId="0" topLeftCell="A2">
      <selection activeCell="K32" sqref="K32"/>
    </sheetView>
  </sheetViews>
  <sheetFormatPr defaultColWidth="9.140625" defaultRowHeight="12.75"/>
  <cols>
    <col min="1" max="1" width="33.57421875" style="0" customWidth="1"/>
    <col min="2" max="2" width="9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52</v>
      </c>
      <c r="B2" s="15"/>
      <c r="C2" s="39"/>
      <c r="D2" s="39"/>
      <c r="E2" s="42" t="s">
        <v>68</v>
      </c>
      <c r="F2" s="14"/>
      <c r="G2" s="15"/>
      <c r="H2" s="42" t="s">
        <v>69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'Hradecké koleje'!B3</f>
        <v>72.5372795260336</v>
      </c>
      <c r="F4" s="21"/>
      <c r="G4" s="9"/>
      <c r="H4" s="22">
        <f>E4*365/12</f>
        <v>2206.3422522501887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597</v>
      </c>
      <c r="C10" s="9">
        <f>B10*2</f>
        <v>1194</v>
      </c>
      <c r="D10" s="9">
        <f>Koeficienty!B6</f>
        <v>1</v>
      </c>
      <c r="E10" s="28">
        <f>B22/(C8*D8+C9*D9+C10*D10+C11*D11+C12*D12+C13*D13+C14*D14+C15*D15+C16*D16+C17*D17)</f>
        <v>73.5489408467718</v>
      </c>
      <c r="F10" s="28">
        <f>IF(E10=" "," ",E10*Koeficienty!$B$25)</f>
        <v>80.16834552298127</v>
      </c>
      <c r="G10" s="29">
        <f t="shared" si="0"/>
        <v>87817.43537104553</v>
      </c>
      <c r="H10" s="28">
        <f t="shared" si="1"/>
        <v>2237.113617422642</v>
      </c>
      <c r="I10" s="66">
        <f>IF(H10=" "," ",H10*Koeficienty!$B$25)</f>
        <v>2438.45384299068</v>
      </c>
    </row>
    <row r="11" spans="1:9" ht="12.75">
      <c r="A11" s="27" t="s">
        <v>62</v>
      </c>
      <c r="B11" s="9">
        <v>4</v>
      </c>
      <c r="C11" s="9">
        <f>B11*2</f>
        <v>8</v>
      </c>
      <c r="D11" s="9">
        <f>Koeficienty!B8</f>
        <v>1.15</v>
      </c>
      <c r="E11" s="28">
        <f aca="true" t="shared" si="2" ref="E11:E17">IF(B11&gt;0,$E$10*D11," ")</f>
        <v>84.58128197378757</v>
      </c>
      <c r="F11" s="28">
        <f>IF(E11=" "," ",E11*Koeficienty!$B$25)</f>
        <v>92.19359735142845</v>
      </c>
      <c r="G11" s="29">
        <f t="shared" si="0"/>
        <v>676.6502557903005</v>
      </c>
      <c r="H11" s="28">
        <f t="shared" si="1"/>
        <v>2572.6806600360383</v>
      </c>
      <c r="I11" s="66">
        <f>IF(H11=" "," ",H11*Koeficienty!$B$25)</f>
        <v>2804.221919439282</v>
      </c>
    </row>
    <row r="12" spans="1:9" ht="12.75">
      <c r="A12" s="27" t="s">
        <v>58</v>
      </c>
      <c r="B12" s="9">
        <v>1</v>
      </c>
      <c r="C12" s="9">
        <f>B12*3</f>
        <v>3</v>
      </c>
      <c r="D12" s="9">
        <f>Koeficienty!B10</f>
        <v>0.8</v>
      </c>
      <c r="E12" s="28">
        <f t="shared" si="2"/>
        <v>58.839152677417445</v>
      </c>
      <c r="F12" s="28">
        <f>IF(E12=" "," ",E12*Koeficienty!$B$25)</f>
        <v>64.13467641838503</v>
      </c>
      <c r="G12" s="29">
        <f t="shared" si="0"/>
        <v>176.51745803225234</v>
      </c>
      <c r="H12" s="28">
        <f t="shared" si="1"/>
        <v>1789.690893938114</v>
      </c>
      <c r="I12" s="66">
        <f>IF(H12=" "," ",H12*Koeficienty!$B$25)</f>
        <v>1950.7630743925445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>
        <v>15</v>
      </c>
      <c r="C14" s="9">
        <f>B14*4</f>
        <v>60</v>
      </c>
      <c r="D14" s="9">
        <f>Koeficienty!B14</f>
        <v>0.7</v>
      </c>
      <c r="E14" s="28">
        <f t="shared" si="2"/>
        <v>51.484258592740254</v>
      </c>
      <c r="F14" s="28">
        <f>IF(E14=" "," ",E14*Koeficienty!$B$25)</f>
        <v>56.117841866086884</v>
      </c>
      <c r="G14" s="29">
        <f t="shared" si="0"/>
        <v>3089.055515564415</v>
      </c>
      <c r="H14" s="28">
        <f t="shared" si="1"/>
        <v>1565.9795321958493</v>
      </c>
      <c r="I14" s="66">
        <f>IF(H14=" "," ",H14*Koeficienty!$B$25)</f>
        <v>1706.9176900934758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1265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1265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72.5372795260336</v>
      </c>
      <c r="C21" s="31"/>
      <c r="D21" s="31"/>
      <c r="E21" s="22"/>
      <c r="F21" s="22"/>
      <c r="G21" s="29"/>
      <c r="H21" s="32">
        <f>B21*365/12</f>
        <v>2206.3422522501887</v>
      </c>
      <c r="I21" s="64"/>
    </row>
    <row r="22" spans="1:9" ht="12.75">
      <c r="A22" s="17" t="s">
        <v>5</v>
      </c>
      <c r="B22" s="33">
        <f>B20*B21</f>
        <v>91759.6586004325</v>
      </c>
      <c r="C22" s="34"/>
      <c r="D22" s="34"/>
      <c r="E22" s="29"/>
      <c r="F22" s="29"/>
      <c r="G22" s="35">
        <f>SUM(G8:G17)</f>
        <v>91759.65860043249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7"/>
  <dimension ref="A1:I32"/>
  <sheetViews>
    <sheetView tabSelected="1" zoomScale="85" zoomScaleNormal="85" workbookViewId="0" topLeftCell="A2">
      <selection activeCell="G29" sqref="G29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51</v>
      </c>
      <c r="B2" s="12"/>
      <c r="C2" s="39"/>
      <c r="D2" s="39"/>
      <c r="E2" s="42" t="s">
        <v>68</v>
      </c>
      <c r="F2" s="14"/>
      <c r="G2" s="15"/>
      <c r="H2" s="42" t="s">
        <v>69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'Hradecké koleje'!C3</f>
        <v>69.3123994167307</v>
      </c>
      <c r="F4" s="21"/>
      <c r="G4" s="9"/>
      <c r="H4" s="22">
        <f>E4*365/12</f>
        <v>2108.2521489255587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68.49051325763904</v>
      </c>
      <c r="F10" s="40">
        <f>IF(E10=" "," ",E10*Koeficienty!$B$25)</f>
        <v>74.65465945082656</v>
      </c>
      <c r="G10" s="29">
        <f t="shared" si="0"/>
        <v>0</v>
      </c>
      <c r="H10" s="40">
        <f t="shared" si="1"/>
        <v>2083.253111586521</v>
      </c>
      <c r="I10" s="69">
        <f>IF(H10=" "," ",H10*Koeficienty!$B$25)</f>
        <v>2270.745891629308</v>
      </c>
    </row>
    <row r="11" spans="1:9" ht="12.75">
      <c r="A11" s="27" t="s">
        <v>62</v>
      </c>
      <c r="B11" s="9">
        <v>46</v>
      </c>
      <c r="C11" s="9">
        <f>B11*2</f>
        <v>92</v>
      </c>
      <c r="D11" s="9">
        <f>Koeficienty!B8</f>
        <v>1.15</v>
      </c>
      <c r="E11" s="28">
        <f aca="true" t="shared" si="2" ref="E11:E17">IF(B11&gt;0,$E$10*D11," ")</f>
        <v>78.76409024628488</v>
      </c>
      <c r="F11" s="28">
        <f>IF(E11=" "," ",E11*Koeficienty!$B$25)</f>
        <v>85.85285836845053</v>
      </c>
      <c r="G11" s="29">
        <f t="shared" si="0"/>
        <v>7246.296302658209</v>
      </c>
      <c r="H11" s="28">
        <f t="shared" si="1"/>
        <v>2395.741078324498</v>
      </c>
      <c r="I11" s="66">
        <f>IF(H11=" "," ",H11*Koeficienty!$B$25)</f>
        <v>2611.357775373703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>
        <v>46</v>
      </c>
      <c r="C13" s="9">
        <f>B13*3</f>
        <v>138</v>
      </c>
      <c r="D13" s="9">
        <f>Koeficienty!B12</f>
        <v>0.9199999999999999</v>
      </c>
      <c r="E13" s="28">
        <f t="shared" si="2"/>
        <v>63.01127219702791</v>
      </c>
      <c r="F13" s="28">
        <f>IF(E13=" "," ",E13*Koeficienty!$B$25)</f>
        <v>68.68228669476042</v>
      </c>
      <c r="G13" s="29">
        <f t="shared" si="0"/>
        <v>8695.555563189851</v>
      </c>
      <c r="H13" s="28">
        <f t="shared" si="1"/>
        <v>1916.5928626595987</v>
      </c>
      <c r="I13" s="66">
        <f>IF(H13=" "," ",H13*Koeficienty!$B$25)</f>
        <v>2089.086220298963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230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230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69.3123994167307</v>
      </c>
      <c r="C21" s="31"/>
      <c r="D21" s="31"/>
      <c r="E21" s="22"/>
      <c r="F21" s="22"/>
      <c r="G21" s="29"/>
      <c r="H21" s="32">
        <f>B21*365/12</f>
        <v>2108.2521489255587</v>
      </c>
      <c r="I21" s="64"/>
    </row>
    <row r="22" spans="1:9" ht="12.75">
      <c r="A22" s="17" t="s">
        <v>5</v>
      </c>
      <c r="B22" s="33">
        <f>B20*B21</f>
        <v>15941.85186584806</v>
      </c>
      <c r="C22" s="34"/>
      <c r="D22" s="34"/>
      <c r="E22" s="29"/>
      <c r="F22" s="29"/>
      <c r="G22" s="35">
        <f>SUM(G8:G17)</f>
        <v>15941.85186584806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140625" style="0" customWidth="1"/>
    <col min="8" max="8" width="14.42187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1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koleje'!B3</f>
        <v>84.24249068313537</v>
      </c>
      <c r="F4" s="21"/>
      <c r="G4" s="9"/>
      <c r="H4" s="22">
        <f>E4*365/12</f>
        <v>2562.3757582787007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>
        <v>3</v>
      </c>
      <c r="C8" s="9">
        <f>B8*1</f>
        <v>3</v>
      </c>
      <c r="D8" s="9">
        <f>Koeficienty!B2</f>
        <v>1.25</v>
      </c>
      <c r="E8" s="28">
        <f>IF(B8&gt;0,$E$10*D8," ")</f>
        <v>133.69020276290337</v>
      </c>
      <c r="F8" s="28">
        <f>IF(E8=" "," ",E8*Koeficienty!$B$25)</f>
        <v>145.72232101156467</v>
      </c>
      <c r="G8" s="29">
        <f>IF(E8=" "," ",E8*C8)</f>
        <v>401.0706082887101</v>
      </c>
      <c r="H8" s="28">
        <f>IF(E8=" "," ",E8*365/12)</f>
        <v>4066.4103340383103</v>
      </c>
      <c r="I8" s="66">
        <f>IF(H8=" "," ",H8*Koeficienty!$B$25)</f>
        <v>4432.387264101759</v>
      </c>
    </row>
    <row r="9" spans="1:9" ht="12.75">
      <c r="A9" s="27" t="s">
        <v>61</v>
      </c>
      <c r="B9" s="9">
        <v>2</v>
      </c>
      <c r="C9" s="9">
        <f>B9*1</f>
        <v>2</v>
      </c>
      <c r="D9" s="9">
        <f>Koeficienty!B4</f>
        <v>1.4375</v>
      </c>
      <c r="E9" s="28">
        <f>IF(B9&gt;0,$E$10*D9," ")</f>
        <v>153.74373317733887</v>
      </c>
      <c r="F9" s="28">
        <f>IF(E9=" "," ",E9*Koeficienty!$B$25)</f>
        <v>167.58066916329938</v>
      </c>
      <c r="G9" s="29">
        <f aca="true" t="shared" si="0" ref="G9:G17">IF(E9=" "," ",E9*C9)</f>
        <v>307.48746635467774</v>
      </c>
      <c r="H9" s="28">
        <f aca="true" t="shared" si="1" ref="H9:H17">IF(E9=" "," ",E9*365/12)</f>
        <v>4676.371884144058</v>
      </c>
      <c r="I9" s="66">
        <f>IF(H9=" "," ",H9*Koeficienty!$B$25)</f>
        <v>5097.245353717023</v>
      </c>
    </row>
    <row r="10" spans="1:9" ht="12.75">
      <c r="A10" s="27" t="s">
        <v>57</v>
      </c>
      <c r="B10" s="9">
        <v>38</v>
      </c>
      <c r="C10" s="9">
        <f>B10*2</f>
        <v>76</v>
      </c>
      <c r="D10" s="9">
        <f>Koeficienty!B6</f>
        <v>1</v>
      </c>
      <c r="E10" s="28">
        <f>B22/(C8*D8+C9*D9+C10*D10+C11*D11+C12*D12+C13*D13+C14*D14+C15*D15+C16*D16+C17*D17)</f>
        <v>106.9521622103227</v>
      </c>
      <c r="F10" s="28">
        <f>IF(E10=" "," ",E10*Koeficienty!$B$25)</f>
        <v>116.57785680925174</v>
      </c>
      <c r="G10" s="29">
        <f t="shared" si="0"/>
        <v>8128.364327984525</v>
      </c>
      <c r="H10" s="28">
        <f t="shared" si="1"/>
        <v>3253.1282672306484</v>
      </c>
      <c r="I10" s="66">
        <f>IF(H10=" "," ",H10*Koeficienty!$B$25)</f>
        <v>3545.909811281407</v>
      </c>
    </row>
    <row r="11" spans="1:9" ht="12.75">
      <c r="A11" s="27" t="s">
        <v>62</v>
      </c>
      <c r="B11" s="9"/>
      <c r="C11" s="9">
        <f>B11*2</f>
        <v>0</v>
      </c>
      <c r="D11" s="9">
        <f>Koeficienty!B8</f>
        <v>1.15</v>
      </c>
      <c r="E11" s="28" t="str">
        <f aca="true" t="shared" si="2" ref="E11:E17">IF(B11&gt;0,$E$10*D11," ")</f>
        <v> </v>
      </c>
      <c r="F11" s="28" t="str">
        <f>IF(E11=" "," ",E11*Koeficienty!$B$25)</f>
        <v> </v>
      </c>
      <c r="G11" s="29" t="str">
        <f t="shared" si="0"/>
        <v> </v>
      </c>
      <c r="H11" s="28" t="str">
        <f t="shared" si="1"/>
        <v> </v>
      </c>
      <c r="I11" s="66" t="str">
        <f>IF(H11=" "," ",H11*Koeficienty!$B$25)</f>
        <v> </v>
      </c>
    </row>
    <row r="12" spans="1:9" ht="12.75">
      <c r="A12" s="27" t="s">
        <v>58</v>
      </c>
      <c r="B12" s="9">
        <v>43</v>
      </c>
      <c r="C12" s="9">
        <f>B12*3</f>
        <v>129</v>
      </c>
      <c r="D12" s="9">
        <f>Koeficienty!B10</f>
        <v>0.8</v>
      </c>
      <c r="E12" s="28">
        <f t="shared" si="2"/>
        <v>85.56172976825816</v>
      </c>
      <c r="F12" s="28">
        <f>IF(E12=" "," ",E12*Koeficienty!$B$25)</f>
        <v>93.2622854474014</v>
      </c>
      <c r="G12" s="29">
        <f t="shared" si="0"/>
        <v>11037.463140105303</v>
      </c>
      <c r="H12" s="28">
        <f t="shared" si="1"/>
        <v>2602.5026137845193</v>
      </c>
      <c r="I12" s="66">
        <f>IF(H12=" "," ",H12*Koeficienty!$B$25)</f>
        <v>2836.7278490251265</v>
      </c>
    </row>
    <row r="13" spans="1:9" ht="12.75">
      <c r="A13" s="27" t="s">
        <v>63</v>
      </c>
      <c r="B13" s="9">
        <v>1</v>
      </c>
      <c r="C13" s="9">
        <f>B13*3</f>
        <v>3</v>
      </c>
      <c r="D13" s="9">
        <f>Koeficienty!B12</f>
        <v>0.9199999999999999</v>
      </c>
      <c r="E13" s="28">
        <f t="shared" si="2"/>
        <v>98.39598923349688</v>
      </c>
      <c r="F13" s="28">
        <f>IF(E13=" "," ",E13*Koeficienty!$B$25)</f>
        <v>107.25162826451161</v>
      </c>
      <c r="G13" s="29">
        <f t="shared" si="0"/>
        <v>295.1879677004906</v>
      </c>
      <c r="H13" s="28">
        <f t="shared" si="1"/>
        <v>2992.8780058521966</v>
      </c>
      <c r="I13" s="66">
        <f>IF(H13=" "," ",H13*Koeficienty!$B$25)</f>
        <v>3262.2370263788944</v>
      </c>
    </row>
    <row r="14" spans="1:9" ht="12.75">
      <c r="A14" s="27" t="s">
        <v>59</v>
      </c>
      <c r="B14" s="9">
        <v>54</v>
      </c>
      <c r="C14" s="9">
        <f>B14*4</f>
        <v>216</v>
      </c>
      <c r="D14" s="9">
        <f>Koeficienty!B14</f>
        <v>0.7</v>
      </c>
      <c r="E14" s="28">
        <f t="shared" si="2"/>
        <v>74.86651354722588</v>
      </c>
      <c r="F14" s="28">
        <f>IF(E14=" "," ",E14*Koeficienty!$B$25)</f>
        <v>81.60449976647621</v>
      </c>
      <c r="G14" s="29">
        <f t="shared" si="0"/>
        <v>16171.166926200789</v>
      </c>
      <c r="H14" s="28">
        <f t="shared" si="1"/>
        <v>2277.189787061454</v>
      </c>
      <c r="I14" s="66">
        <f>IF(H14=" "," ",H14*Koeficienty!$B$25)</f>
        <v>2482.1368678969848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>
        <v>2</v>
      </c>
      <c r="C16" s="9">
        <f>B16*5</f>
        <v>10</v>
      </c>
      <c r="D16" s="9">
        <f>Koeficienty!B18</f>
        <v>0.6</v>
      </c>
      <c r="E16" s="28">
        <f t="shared" si="2"/>
        <v>64.17129732619361</v>
      </c>
      <c r="F16" s="28">
        <f>IF(E16=" "," ",E16*Koeficienty!$B$25)</f>
        <v>69.94671408555104</v>
      </c>
      <c r="G16" s="29">
        <f t="shared" si="0"/>
        <v>641.7129732619361</v>
      </c>
      <c r="H16" s="28">
        <f t="shared" si="1"/>
        <v>1951.876960338389</v>
      </c>
      <c r="I16" s="66">
        <f>IF(H16=" "," ",H16*Koeficienty!$B$25)</f>
        <v>2127.545886768844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439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439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84.24249068313537</v>
      </c>
      <c r="C21" s="31"/>
      <c r="D21" s="31"/>
      <c r="E21" s="22"/>
      <c r="F21" s="22"/>
      <c r="G21" s="29"/>
      <c r="H21" s="32">
        <f>B21*365/12</f>
        <v>2562.3757582787007</v>
      </c>
      <c r="I21" s="64"/>
    </row>
    <row r="22" spans="1:9" ht="12.75">
      <c r="A22" s="17" t="s">
        <v>5</v>
      </c>
      <c r="B22" s="33">
        <f>B20*B21</f>
        <v>36982.45340989643</v>
      </c>
      <c r="C22" s="34"/>
      <c r="D22" s="34"/>
      <c r="E22" s="29"/>
      <c r="F22" s="29"/>
      <c r="G22" s="35">
        <f>SUM(G8:G17)</f>
        <v>36982.453409896436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17"/>
      <c r="B24" s="9"/>
      <c r="C24" s="9"/>
      <c r="D24" s="9"/>
      <c r="E24" s="22"/>
      <c r="F24" s="22"/>
      <c r="G24" s="22"/>
      <c r="H24" s="22"/>
      <c r="I24" s="64"/>
    </row>
    <row r="25" spans="1:9" ht="12.75">
      <c r="A25" s="36"/>
      <c r="B25" s="37"/>
      <c r="C25" s="37"/>
      <c r="D25" s="37"/>
      <c r="E25" s="38"/>
      <c r="F25" s="38"/>
      <c r="G25" s="38"/>
      <c r="H25" s="38"/>
      <c r="I25" s="67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421875" style="0" customWidth="1"/>
    <col min="8" max="8" width="14.42187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31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koleje'!C3</f>
        <v>132.10427239847027</v>
      </c>
      <c r="F4" s="21"/>
      <c r="G4" s="9"/>
      <c r="H4" s="22">
        <f>E4*365/12</f>
        <v>4018.171618786804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>
        <v>28</v>
      </c>
      <c r="C9" s="9">
        <f>B9*1</f>
        <v>28</v>
      </c>
      <c r="D9" s="9">
        <f>Koeficienty!B4</f>
        <v>1.4375</v>
      </c>
      <c r="E9" s="28">
        <f>IF(B9&gt;0,$E$10*D9," ")</f>
        <v>150.85981724516665</v>
      </c>
      <c r="F9" s="28">
        <f>IF(E9=" "," ",E9*Koeficienty!$B$25)</f>
        <v>164.43720079723167</v>
      </c>
      <c r="G9" s="29">
        <f aca="true" t="shared" si="0" ref="G9:G17">IF(E9=" "," ",E9*C9)</f>
        <v>4224.0748828646665</v>
      </c>
      <c r="H9" s="28">
        <f aca="true" t="shared" si="1" ref="H9:H17">IF(E9=" "," ",E9*365/12)</f>
        <v>4588.652774540486</v>
      </c>
      <c r="I9" s="66">
        <f>IF(H9=" "," ",H9*Koeficienty!$B$25)</f>
        <v>5001.63152424913</v>
      </c>
    </row>
    <row r="10" spans="1:9" ht="12.75">
      <c r="A10" s="27" t="s">
        <v>57</v>
      </c>
      <c r="B10" s="9"/>
      <c r="C10" s="9">
        <f>B10*2</f>
        <v>0</v>
      </c>
      <c r="D10" s="9">
        <f>Koeficienty!B6</f>
        <v>1</v>
      </c>
      <c r="E10" s="28">
        <f>B22/(C8*D8+C9*D9+C10*D10+C11*D11+C12*D12+C13*D13+C14*D14+C15*D15+C16*D16+C17*D17)</f>
        <v>104.94595982272463</v>
      </c>
      <c r="F10" s="40">
        <f>IF(E10=" "," ",E10*Koeficienty!$B$25)</f>
        <v>114.39109620676986</v>
      </c>
      <c r="G10" s="29">
        <f t="shared" si="0"/>
        <v>0</v>
      </c>
      <c r="H10" s="40">
        <f t="shared" si="1"/>
        <v>3192.1062779412077</v>
      </c>
      <c r="I10" s="69">
        <f>IF(H10=" "," ",H10*Koeficienty!$B$25)</f>
        <v>3479.3958429559166</v>
      </c>
    </row>
    <row r="11" spans="1:9" ht="12.75">
      <c r="A11" s="27" t="s">
        <v>62</v>
      </c>
      <c r="B11" s="9">
        <v>23</v>
      </c>
      <c r="C11" s="9">
        <f>B11*2</f>
        <v>46</v>
      </c>
      <c r="D11" s="9">
        <f>Koeficienty!B8</f>
        <v>1.15</v>
      </c>
      <c r="E11" s="28">
        <f aca="true" t="shared" si="2" ref="E11:E17">IF(B11&gt;0,$E$10*D11," ")</f>
        <v>120.68785379613331</v>
      </c>
      <c r="F11" s="28">
        <f>IF(E11=" "," ",E11*Koeficienty!$B$25)</f>
        <v>131.5497606377853</v>
      </c>
      <c r="G11" s="29">
        <f t="shared" si="0"/>
        <v>5551.641274622132</v>
      </c>
      <c r="H11" s="28">
        <f t="shared" si="1"/>
        <v>3670.922219632388</v>
      </c>
      <c r="I11" s="66">
        <f>IF(H11=" "," ",H11*Koeficienty!$B$25)</f>
        <v>4001.3052193993035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74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74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132.10427239847027</v>
      </c>
      <c r="C21" s="31"/>
      <c r="D21" s="31"/>
      <c r="E21" s="22"/>
      <c r="F21" s="22"/>
      <c r="G21" s="29"/>
      <c r="H21" s="32">
        <f>B21*365/12</f>
        <v>4018.171618786804</v>
      </c>
      <c r="I21" s="64"/>
    </row>
    <row r="22" spans="1:9" ht="12.75">
      <c r="A22" s="17" t="s">
        <v>5</v>
      </c>
      <c r="B22" s="33">
        <f>B20*B21</f>
        <v>9775.7161574868</v>
      </c>
      <c r="C22" s="34"/>
      <c r="D22" s="34"/>
      <c r="E22" s="29"/>
      <c r="F22" s="29"/>
      <c r="G22" s="35">
        <f>SUM(G8:G17)</f>
        <v>9775.716157486799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17"/>
      <c r="B24" s="9"/>
      <c r="C24" s="9"/>
      <c r="D24" s="9"/>
      <c r="E24" s="22"/>
      <c r="F24" s="22"/>
      <c r="G24" s="22"/>
      <c r="H24" s="22"/>
      <c r="I24" s="64"/>
    </row>
    <row r="25" spans="1:9" ht="12.75">
      <c r="A25" s="36"/>
      <c r="B25" s="37"/>
      <c r="C25" s="37"/>
      <c r="D25" s="37"/>
      <c r="E25" s="38"/>
      <c r="F25" s="38"/>
      <c r="G25" s="38"/>
      <c r="H25" s="38"/>
      <c r="I25" s="67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140625" style="0" customWidth="1"/>
    <col min="3" max="3" width="6.710937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9.85156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30</v>
      </c>
      <c r="B2" s="12"/>
      <c r="C2" s="12"/>
      <c r="D2" s="13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koleje'!D3</f>
        <v>101.27650112336997</v>
      </c>
      <c r="F4" s="21"/>
      <c r="G4" s="9"/>
      <c r="H4" s="22">
        <f>E4*365/12</f>
        <v>3080.4935758358365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/>
      <c r="C8" s="9">
        <f>B8*1</f>
        <v>0</v>
      </c>
      <c r="D8" s="9">
        <f>Koeficienty!B2</f>
        <v>1.25</v>
      </c>
      <c r="E8" s="28" t="str">
        <f>IF(B8&gt;0,$E$10*D8," ")</f>
        <v> </v>
      </c>
      <c r="F8" s="28" t="str">
        <f>IF(E8=" "," ",E8*Koeficienty!$B$25)</f>
        <v> </v>
      </c>
      <c r="G8" s="29" t="str">
        <f>IF(E8=" "," ",E8*C8)</f>
        <v> </v>
      </c>
      <c r="H8" s="28" t="str">
        <f>IF(E8=" "," ",E8*365/12)</f>
        <v> </v>
      </c>
      <c r="I8" s="66" t="str">
        <f>IF(H8=" "," ",H8*Koeficienty!$B$25)</f>
        <v> 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16</v>
      </c>
      <c r="C10" s="9">
        <f>B10*2</f>
        <v>32</v>
      </c>
      <c r="D10" s="9">
        <f>Koeficienty!B6</f>
        <v>1</v>
      </c>
      <c r="E10" s="28">
        <f>B22/(C8*D8+C9*D9+C10*D10+C11*D11+C12*D12+C13*D13+C14*D14+C15*D15+C16*D16+C17*D17)</f>
        <v>131.0820661689226</v>
      </c>
      <c r="F10" s="28">
        <f>IF(E10=" "," ",E10*Koeficienty!$B$25)</f>
        <v>142.87945212412566</v>
      </c>
      <c r="G10" s="29">
        <f t="shared" si="0"/>
        <v>4194.6261174055235</v>
      </c>
      <c r="H10" s="28">
        <f t="shared" si="1"/>
        <v>3987.079512638063</v>
      </c>
      <c r="I10" s="66">
        <f>IF(H10=" "," ",H10*Koeficienty!$B$25)</f>
        <v>4345.916668775489</v>
      </c>
    </row>
    <row r="11" spans="1:9" ht="12.75">
      <c r="A11" s="27" t="s">
        <v>62</v>
      </c>
      <c r="B11" s="9"/>
      <c r="C11" s="9">
        <f>B11*2</f>
        <v>0</v>
      </c>
      <c r="D11" s="9">
        <f>Koeficienty!B8</f>
        <v>1.15</v>
      </c>
      <c r="E11" s="28" t="str">
        <f aca="true" t="shared" si="2" ref="E11:E17">IF(B11&gt;0,$E$10*D11," ")</f>
        <v> </v>
      </c>
      <c r="F11" s="28" t="str">
        <f>IF(E11=" "," ",E11*Koeficienty!$B$25)</f>
        <v> </v>
      </c>
      <c r="G11" s="29" t="str">
        <f t="shared" si="0"/>
        <v> </v>
      </c>
      <c r="H11" s="28" t="str">
        <f t="shared" si="1"/>
        <v> </v>
      </c>
      <c r="I11" s="66" t="str">
        <f>IF(H11=" "," ",H11*Koeficienty!$B$25)</f>
        <v> </v>
      </c>
    </row>
    <row r="12" spans="1:9" ht="12.75">
      <c r="A12" s="27" t="s">
        <v>58</v>
      </c>
      <c r="B12" s="9">
        <v>17</v>
      </c>
      <c r="C12" s="9">
        <f>B12*3</f>
        <v>51</v>
      </c>
      <c r="D12" s="9">
        <f>Koeficienty!B10</f>
        <v>0.8</v>
      </c>
      <c r="E12" s="28">
        <f t="shared" si="2"/>
        <v>104.86565293513809</v>
      </c>
      <c r="F12" s="28">
        <f>IF(E12=" "," ",E12*Koeficienty!$B$25)</f>
        <v>114.30356169930052</v>
      </c>
      <c r="G12" s="29">
        <f t="shared" si="0"/>
        <v>5348.148299692042</v>
      </c>
      <c r="H12" s="28">
        <f t="shared" si="1"/>
        <v>3189.66361011045</v>
      </c>
      <c r="I12" s="66">
        <f>IF(H12=" "," ",H12*Koeficienty!$B$25)</f>
        <v>3476.7333350203908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>
        <v>15</v>
      </c>
      <c r="C14" s="9">
        <f>B14*4</f>
        <v>60</v>
      </c>
      <c r="D14" s="9">
        <f>Koeficienty!B14</f>
        <v>0.7</v>
      </c>
      <c r="E14" s="28">
        <f t="shared" si="2"/>
        <v>91.75744631824583</v>
      </c>
      <c r="F14" s="28">
        <f>IF(E14=" "," ",E14*Koeficienty!$B$25)</f>
        <v>100.01561648688796</v>
      </c>
      <c r="G14" s="29">
        <f t="shared" si="0"/>
        <v>5505.446779094749</v>
      </c>
      <c r="H14" s="28">
        <f t="shared" si="1"/>
        <v>2790.955658846644</v>
      </c>
      <c r="I14" s="66">
        <f>IF(H14=" "," ",H14*Koeficienty!$B$25)</f>
        <v>3042.1416681428423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>
        <v>5</v>
      </c>
      <c r="C16" s="9">
        <f>B16*5</f>
        <v>25</v>
      </c>
      <c r="D16" s="9">
        <f>Koeficienty!B18</f>
        <v>0.6</v>
      </c>
      <c r="E16" s="28">
        <f t="shared" si="2"/>
        <v>78.64923970135357</v>
      </c>
      <c r="F16" s="28">
        <f>IF(E16=" "," ",E16*Koeficienty!$B$25)</f>
        <v>85.7276712744754</v>
      </c>
      <c r="G16" s="29">
        <f t="shared" si="0"/>
        <v>1966.230992533839</v>
      </c>
      <c r="H16" s="28">
        <f t="shared" si="1"/>
        <v>2392.247707582838</v>
      </c>
      <c r="I16" s="66">
        <f>IF(H16=" "," ",H16*Koeficienty!$B$25)</f>
        <v>2607.5500012652933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17"/>
      <c r="B18" s="9"/>
      <c r="C18" s="9">
        <f>SUM(C8:C17)</f>
        <v>168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168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101.27650112336997</v>
      </c>
      <c r="C21" s="31"/>
      <c r="D21" s="31"/>
      <c r="E21" s="22"/>
      <c r="F21" s="22"/>
      <c r="G21" s="29"/>
      <c r="H21" s="32">
        <f>B21*365/12</f>
        <v>3080.4935758358365</v>
      </c>
      <c r="I21" s="64"/>
    </row>
    <row r="22" spans="1:9" ht="12.75">
      <c r="A22" s="17" t="s">
        <v>5</v>
      </c>
      <c r="B22" s="33">
        <f>B20*B21</f>
        <v>17014.452188726154</v>
      </c>
      <c r="C22" s="34"/>
      <c r="D22" s="34"/>
      <c r="E22" s="29"/>
      <c r="F22" s="29"/>
      <c r="G22" s="35">
        <f>SUM(G8:G17)</f>
        <v>17014.452188726154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6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32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koleje'!E3</f>
        <v>90.90932973484428</v>
      </c>
      <c r="F4" s="21"/>
      <c r="G4" s="9"/>
      <c r="H4" s="22">
        <f>E4*365/12</f>
        <v>2765.158779434847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>
        <v>16</v>
      </c>
      <c r="C8" s="9">
        <f>B8*1</f>
        <v>16</v>
      </c>
      <c r="D8" s="9">
        <f>Koeficienty!B2</f>
        <v>1.25</v>
      </c>
      <c r="E8" s="28">
        <f>IF(B8&gt;0,$E$10*D8," ")</f>
        <v>116.52398207846419</v>
      </c>
      <c r="F8" s="28">
        <f>IF(E8=" "," ",E8*Koeficienty!$B$25)</f>
        <v>127.01114046552597</v>
      </c>
      <c r="G8" s="29">
        <f>IF(E8=" "," ",E8*C8)</f>
        <v>1864.383713255427</v>
      </c>
      <c r="H8" s="28">
        <f>IF(E8=" "," ",E8*365/12)</f>
        <v>3544.2711215532854</v>
      </c>
      <c r="I8" s="66">
        <f>IF(H8=" "," ",H8*Koeficienty!$B$25)</f>
        <v>3863.2555224930816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81</v>
      </c>
      <c r="C10" s="9">
        <f>B10*2</f>
        <v>162</v>
      </c>
      <c r="D10" s="9">
        <f>Koeficienty!B6</f>
        <v>1</v>
      </c>
      <c r="E10" s="28">
        <f>B22/(C8*D8+C9*D9+C10*D10+C11*D11+C12*D12+C13*D13+C14*D14+C15*D15+C16*D16+C17*D17)</f>
        <v>93.21918566277135</v>
      </c>
      <c r="F10" s="28">
        <f>IF(E10=" "," ",E10*Koeficienty!$B$25)</f>
        <v>101.60891237242078</v>
      </c>
      <c r="G10" s="29">
        <f t="shared" si="0"/>
        <v>15101.508077368959</v>
      </c>
      <c r="H10" s="28">
        <f t="shared" si="1"/>
        <v>2835.4168972426287</v>
      </c>
      <c r="I10" s="66">
        <f>IF(H10=" "," ",H10*Koeficienty!$B$25)</f>
        <v>3090.6044179944656</v>
      </c>
    </row>
    <row r="11" spans="1:9" ht="12.75">
      <c r="A11" s="27" t="s">
        <v>62</v>
      </c>
      <c r="B11" s="9"/>
      <c r="C11" s="9">
        <f>B11*2</f>
        <v>0</v>
      </c>
      <c r="D11" s="9">
        <f>Koeficienty!B8</f>
        <v>1.15</v>
      </c>
      <c r="E11" s="28" t="str">
        <f aca="true" t="shared" si="2" ref="E11:E17">IF(B11&gt;0,$E$10*D11," ")</f>
        <v> </v>
      </c>
      <c r="F11" s="28" t="str">
        <f>IF(E11=" "," ",E11*Koeficienty!$B$25)</f>
        <v> </v>
      </c>
      <c r="G11" s="29" t="str">
        <f t="shared" si="0"/>
        <v> </v>
      </c>
      <c r="H11" s="28" t="str">
        <f t="shared" si="1"/>
        <v> </v>
      </c>
      <c r="I11" s="66" t="str">
        <f>IF(H11=" "," ",H11*Koeficienty!$B$25)</f>
        <v> </v>
      </c>
    </row>
    <row r="12" spans="1:9" ht="12.75">
      <c r="A12" s="27" t="s">
        <v>58</v>
      </c>
      <c r="B12" s="9">
        <v>16</v>
      </c>
      <c r="C12" s="9">
        <f>B12*3</f>
        <v>48</v>
      </c>
      <c r="D12" s="9">
        <f>Koeficienty!B10</f>
        <v>0.8</v>
      </c>
      <c r="E12" s="28">
        <f t="shared" si="2"/>
        <v>74.57534853021708</v>
      </c>
      <c r="F12" s="28">
        <f>IF(E12=" "," ",E12*Koeficienty!$B$25)</f>
        <v>81.28712989793662</v>
      </c>
      <c r="G12" s="29">
        <f t="shared" si="0"/>
        <v>3579.6167294504203</v>
      </c>
      <c r="H12" s="28">
        <f t="shared" si="1"/>
        <v>2268.333517794103</v>
      </c>
      <c r="I12" s="66">
        <f>IF(H12=" "," ",H12*Koeficienty!$B$25)</f>
        <v>2472.4835343955724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/>
      <c r="C14" s="9">
        <f>B14*4</f>
        <v>0</v>
      </c>
      <c r="D14" s="9">
        <f>Koeficienty!B14</f>
        <v>0.7</v>
      </c>
      <c r="E14" s="28" t="str">
        <f t="shared" si="2"/>
        <v> </v>
      </c>
      <c r="F14" s="28" t="str">
        <f>IF(E14=" "," ",E14*Koeficienty!$B$25)</f>
        <v> </v>
      </c>
      <c r="G14" s="29" t="str">
        <f t="shared" si="0"/>
        <v> </v>
      </c>
      <c r="H14" s="28" t="str">
        <f t="shared" si="1"/>
        <v> </v>
      </c>
      <c r="I14" s="66" t="str">
        <f>IF(H14=" "," ",H14*Koeficienty!$B$25)</f>
        <v> 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226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226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90.90932973484428</v>
      </c>
      <c r="C21" s="31"/>
      <c r="D21" s="31"/>
      <c r="E21" s="22"/>
      <c r="F21" s="22"/>
      <c r="G21" s="29"/>
      <c r="H21" s="32">
        <f>B21*365/12</f>
        <v>2765.158779434847</v>
      </c>
      <c r="I21" s="64"/>
    </row>
    <row r="22" spans="1:9" ht="12.75">
      <c r="A22" s="17" t="s">
        <v>5</v>
      </c>
      <c r="B22" s="33">
        <f>B20*B21</f>
        <v>20545.508520074807</v>
      </c>
      <c r="C22" s="34"/>
      <c r="D22" s="34"/>
      <c r="E22" s="29"/>
      <c r="F22" s="29"/>
      <c r="G22" s="35">
        <f>SUM(G8:G17)</f>
        <v>20545.508520074804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6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281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33</v>
      </c>
      <c r="B2" s="12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koleje'!F3</f>
        <v>66.59933514630836</v>
      </c>
      <c r="F4" s="21"/>
      <c r="G4" s="9"/>
      <c r="H4" s="22">
        <f>E4*365/12</f>
        <v>2025.7297773668795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>
        <v>23</v>
      </c>
      <c r="C8" s="9">
        <f>B8*1</f>
        <v>23</v>
      </c>
      <c r="D8" s="9">
        <f>Koeficienty!B2</f>
        <v>1.25</v>
      </c>
      <c r="E8" s="28">
        <f>IF(B8&gt;0,$E$10*D8," ")</f>
        <v>92.02246620933742</v>
      </c>
      <c r="F8" s="28">
        <f>IF(E8=" "," ",E8*Koeficienty!$B$25)</f>
        <v>100.3044881681778</v>
      </c>
      <c r="G8" s="29">
        <f>IF(E8=" "," ",E8*C8)</f>
        <v>2116.5167228147607</v>
      </c>
      <c r="H8" s="28">
        <f>IF(E8=" "," ",E8*365/12)</f>
        <v>2799.0166805340136</v>
      </c>
      <c r="I8" s="66">
        <f>IF(H8=" "," ",H8*Koeficienty!$B$25)</f>
        <v>3050.928181782075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190</v>
      </c>
      <c r="C10" s="9">
        <f>B10*2</f>
        <v>380</v>
      </c>
      <c r="D10" s="9">
        <f>Koeficienty!B6</f>
        <v>1</v>
      </c>
      <c r="E10" s="28">
        <f>B22/(C8*D8+C9*D9+C10*D10+C11*D11+C12*D12+C13*D13+C14*D14+C15*D15+C16*D16+C17*D17)</f>
        <v>73.61797296746994</v>
      </c>
      <c r="F10" s="28">
        <f>IF(E10=" "," ",E10*Koeficienty!$B$25)</f>
        <v>80.24359053454224</v>
      </c>
      <c r="G10" s="29">
        <f t="shared" si="0"/>
        <v>27974.82972763858</v>
      </c>
      <c r="H10" s="28">
        <f t="shared" si="1"/>
        <v>2239.213344427211</v>
      </c>
      <c r="I10" s="66">
        <f>IF(H10=" "," ",H10*Koeficienty!$B$25)</f>
        <v>2440.74254542566</v>
      </c>
    </row>
    <row r="11" spans="1:9" ht="12.75">
      <c r="A11" s="27" t="s">
        <v>62</v>
      </c>
      <c r="B11" s="9">
        <v>1</v>
      </c>
      <c r="C11" s="9">
        <f>B11*2</f>
        <v>2</v>
      </c>
      <c r="D11" s="9">
        <f>Koeficienty!B8</f>
        <v>1.15</v>
      </c>
      <c r="E11" s="28">
        <f aca="true" t="shared" si="2" ref="E11:E17">IF(B11&gt;0,$E$10*D11," ")</f>
        <v>84.66066891259042</v>
      </c>
      <c r="F11" s="28">
        <f>IF(E11=" "," ",E11*Koeficienty!$B$25)</f>
        <v>92.28012911472356</v>
      </c>
      <c r="G11" s="29">
        <f t="shared" si="0"/>
        <v>169.32133782518085</v>
      </c>
      <c r="H11" s="28">
        <f t="shared" si="1"/>
        <v>2575.095346091292</v>
      </c>
      <c r="I11" s="66">
        <f>IF(H11=" "," ",H11*Koeficienty!$B$25)</f>
        <v>2806.8539272395083</v>
      </c>
    </row>
    <row r="12" spans="1:9" ht="12.75">
      <c r="A12" s="27" t="s">
        <v>58</v>
      </c>
      <c r="B12" s="9">
        <v>88</v>
      </c>
      <c r="C12" s="9">
        <f>B12*3</f>
        <v>264</v>
      </c>
      <c r="D12" s="9">
        <f>Koeficienty!B10</f>
        <v>0.8</v>
      </c>
      <c r="E12" s="28">
        <f t="shared" si="2"/>
        <v>58.894378373975954</v>
      </c>
      <c r="F12" s="28">
        <f>IF(E12=" "," ",E12*Koeficienty!$B$25)</f>
        <v>64.1948724276338</v>
      </c>
      <c r="G12" s="29">
        <f t="shared" si="0"/>
        <v>15548.115890729652</v>
      </c>
      <c r="H12" s="28">
        <f t="shared" si="1"/>
        <v>1791.3706755417686</v>
      </c>
      <c r="I12" s="66">
        <f>IF(H12=" "," ",H12*Koeficienty!$B$25)</f>
        <v>1952.594036340528</v>
      </c>
    </row>
    <row r="13" spans="1:9" ht="12.75">
      <c r="A13" s="27" t="s">
        <v>63</v>
      </c>
      <c r="B13" s="9">
        <v>1</v>
      </c>
      <c r="C13" s="9">
        <f>B13*3</f>
        <v>3</v>
      </c>
      <c r="D13" s="9">
        <f>Koeficienty!B12</f>
        <v>0.9199999999999999</v>
      </c>
      <c r="E13" s="28">
        <f t="shared" si="2"/>
        <v>67.72853513007234</v>
      </c>
      <c r="F13" s="28">
        <f>IF(E13=" "," ",E13*Koeficienty!$B$25)</f>
        <v>73.82410329177885</v>
      </c>
      <c r="G13" s="29">
        <f t="shared" si="0"/>
        <v>203.18560539021703</v>
      </c>
      <c r="H13" s="28">
        <f t="shared" si="1"/>
        <v>2060.0762768730337</v>
      </c>
      <c r="I13" s="66">
        <f>IF(H13=" "," ",H13*Koeficienty!$B$25)</f>
        <v>2245.483141791607</v>
      </c>
    </row>
    <row r="14" spans="1:9" ht="12.75">
      <c r="A14" s="27" t="s">
        <v>59</v>
      </c>
      <c r="B14" s="9">
        <v>19</v>
      </c>
      <c r="C14" s="9">
        <f>B14*4</f>
        <v>76</v>
      </c>
      <c r="D14" s="9">
        <f>Koeficienty!B14</f>
        <v>0.7</v>
      </c>
      <c r="E14" s="28">
        <f t="shared" si="2"/>
        <v>51.532581077228954</v>
      </c>
      <c r="F14" s="28">
        <f>IF(E14=" "," ",E14*Koeficienty!$B$25)</f>
        <v>56.17051337417956</v>
      </c>
      <c r="G14" s="29">
        <f t="shared" si="0"/>
        <v>3916.4761618694006</v>
      </c>
      <c r="H14" s="28">
        <f t="shared" si="1"/>
        <v>1567.4493410990474</v>
      </c>
      <c r="I14" s="66">
        <f>IF(H14=" "," ",H14*Koeficienty!$B$25)</f>
        <v>1708.5197817979617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>
        <v>1</v>
      </c>
      <c r="C16" s="9">
        <f>B16*5</f>
        <v>5</v>
      </c>
      <c r="D16" s="9">
        <f>Koeficienty!B18</f>
        <v>0.6</v>
      </c>
      <c r="E16" s="28">
        <f t="shared" si="2"/>
        <v>44.17078378048196</v>
      </c>
      <c r="F16" s="28">
        <f>IF(E16=" "," ",E16*Koeficienty!$B$25)</f>
        <v>48.146154320725344</v>
      </c>
      <c r="G16" s="29">
        <f t="shared" si="0"/>
        <v>220.85391890240982</v>
      </c>
      <c r="H16" s="28">
        <f t="shared" si="1"/>
        <v>1343.5280066563264</v>
      </c>
      <c r="I16" s="66">
        <f>IF(H16=" "," ",H16*Koeficienty!$B$25)</f>
        <v>1464.445527255396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753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753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66.59933514630836</v>
      </c>
      <c r="C21" s="31"/>
      <c r="D21" s="31"/>
      <c r="E21" s="22"/>
      <c r="F21" s="22"/>
      <c r="G21" s="29"/>
      <c r="H21" s="32">
        <f>B21*365/12</f>
        <v>2025.7297773668795</v>
      </c>
      <c r="I21" s="64"/>
    </row>
    <row r="22" spans="1:9" ht="12.75">
      <c r="A22" s="17" t="s">
        <v>5</v>
      </c>
      <c r="B22" s="33">
        <f>B20*B21</f>
        <v>50149.2993651702</v>
      </c>
      <c r="C22" s="34"/>
      <c r="D22" s="34"/>
      <c r="E22" s="29"/>
      <c r="F22" s="29"/>
      <c r="G22" s="35">
        <f>SUM(G8:G17)</f>
        <v>50149.299365170205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6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3.57421875" style="0" customWidth="1"/>
    <col min="2" max="2" width="10.28125" style="0" customWidth="1"/>
    <col min="3" max="3" width="6.140625" style="0" customWidth="1"/>
    <col min="4" max="4" width="8.7109375" style="0" customWidth="1"/>
    <col min="5" max="5" width="14.57421875" style="0" customWidth="1"/>
    <col min="6" max="6" width="13.57421875" style="0" customWidth="1"/>
    <col min="7" max="7" width="10.5742187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34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koleje'!G3</f>
        <v>70.70461206803331</v>
      </c>
      <c r="F4" s="21"/>
      <c r="G4" s="9"/>
      <c r="H4" s="22">
        <f>E4*365/12</f>
        <v>2150.5986170693463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>
        <v>1</v>
      </c>
      <c r="C8" s="9">
        <f>B8*1</f>
        <v>1</v>
      </c>
      <c r="D8" s="9">
        <f>Koeficienty!B2</f>
        <v>1.25</v>
      </c>
      <c r="E8" s="28">
        <f>IF(B8&gt;0,$E$10*D8," ")</f>
        <v>89.02670872148471</v>
      </c>
      <c r="F8" s="28">
        <f>IF(E8=" "," ",E8*Koeficienty!$B$25)</f>
        <v>97.03911250641833</v>
      </c>
      <c r="G8" s="29">
        <f>IF(E8=" "," ",E8*C8)</f>
        <v>89.02670872148471</v>
      </c>
      <c r="H8" s="28">
        <f>IF(E8=" "," ",E8*365/12)</f>
        <v>2707.8957236118267</v>
      </c>
      <c r="I8" s="66">
        <f>IF(H8=" "," ",H8*Koeficienty!$B$25)</f>
        <v>2951.6063387368913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798</v>
      </c>
      <c r="C10" s="9">
        <f>B10*2</f>
        <v>1596</v>
      </c>
      <c r="D10" s="9">
        <f>Koeficienty!B6</f>
        <v>1</v>
      </c>
      <c r="E10" s="28">
        <f>B22/(C8*D8+C9*D9+C10*D10+C11*D11+C12*D12+C13*D13+C14*D14+C15*D15+C16*D16+C17*D17)</f>
        <v>71.22136697718777</v>
      </c>
      <c r="F10" s="28">
        <f>IF(E10=" "," ",E10*Koeficienty!$B$25)</f>
        <v>77.63129000513467</v>
      </c>
      <c r="G10" s="29">
        <f t="shared" si="0"/>
        <v>113669.30169559168</v>
      </c>
      <c r="H10" s="28">
        <f t="shared" si="1"/>
        <v>2166.3165788894617</v>
      </c>
      <c r="I10" s="66">
        <f>IF(H10=" "," ",H10*Koeficienty!$B$25)</f>
        <v>2361.2850709895133</v>
      </c>
    </row>
    <row r="11" spans="1:9" ht="12.75">
      <c r="A11" s="27" t="s">
        <v>62</v>
      </c>
      <c r="B11" s="9"/>
      <c r="C11" s="9">
        <f>B11*2</f>
        <v>0</v>
      </c>
      <c r="D11" s="9">
        <f>Koeficienty!B8</f>
        <v>1.15</v>
      </c>
      <c r="E11" s="28" t="str">
        <f aca="true" t="shared" si="2" ref="E11:E17">IF(B11&gt;0,$E$10*D11," ")</f>
        <v> </v>
      </c>
      <c r="F11" s="28" t="str">
        <f>IF(E11=" "," ",E11*Koeficienty!$B$25)</f>
        <v> </v>
      </c>
      <c r="G11" s="29" t="str">
        <f t="shared" si="0"/>
        <v> </v>
      </c>
      <c r="H11" s="28" t="str">
        <f t="shared" si="1"/>
        <v> </v>
      </c>
      <c r="I11" s="66" t="str">
        <f>IF(H11=" "," ",H11*Koeficienty!$B$25)</f>
        <v> </v>
      </c>
    </row>
    <row r="12" spans="1:9" ht="12.75">
      <c r="A12" s="27" t="s">
        <v>58</v>
      </c>
      <c r="B12" s="9">
        <v>11</v>
      </c>
      <c r="C12" s="9">
        <f>B12*3</f>
        <v>33</v>
      </c>
      <c r="D12" s="9">
        <f>Koeficienty!B10</f>
        <v>0.8</v>
      </c>
      <c r="E12" s="28">
        <f t="shared" si="2"/>
        <v>56.97709358175022</v>
      </c>
      <c r="F12" s="28">
        <f>IF(E12=" "," ",E12*Koeficienty!$B$25)</f>
        <v>62.10503200410774</v>
      </c>
      <c r="G12" s="29">
        <f t="shared" si="0"/>
        <v>1880.2440881977573</v>
      </c>
      <c r="H12" s="28">
        <f t="shared" si="1"/>
        <v>1733.053263111569</v>
      </c>
      <c r="I12" s="66">
        <f>IF(H12=" "," ",H12*Koeficienty!$B$25)</f>
        <v>1889.0280567916104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>
        <v>3</v>
      </c>
      <c r="C14" s="9">
        <f>B14*4</f>
        <v>12</v>
      </c>
      <c r="D14" s="9">
        <f>Koeficienty!B14</f>
        <v>0.7</v>
      </c>
      <c r="E14" s="28">
        <f t="shared" si="2"/>
        <v>49.85495688403144</v>
      </c>
      <c r="F14" s="28">
        <f>IF(E14=" "," ",E14*Koeficienty!$B$25)</f>
        <v>54.34190300359427</v>
      </c>
      <c r="G14" s="29">
        <f t="shared" si="0"/>
        <v>598.2594826083773</v>
      </c>
      <c r="H14" s="28">
        <f t="shared" si="1"/>
        <v>1516.421605222623</v>
      </c>
      <c r="I14" s="66">
        <f>IF(H14=" "," ",H14*Koeficienty!$B$25)</f>
        <v>1652.899549692659</v>
      </c>
    </row>
    <row r="15" spans="1:9" ht="12.75">
      <c r="A15" s="27" t="s">
        <v>64</v>
      </c>
      <c r="B15" s="9"/>
      <c r="C15" s="9">
        <f>B15*4</f>
        <v>0</v>
      </c>
      <c r="D15" s="9">
        <f>Koeficienty!B16</f>
        <v>0.8049999999999999</v>
      </c>
      <c r="E15" s="28" t="str">
        <f t="shared" si="2"/>
        <v> </v>
      </c>
      <c r="F15" s="28" t="str">
        <f>IF(E15=" "," ",E15*Koeficienty!$B$25)</f>
        <v> </v>
      </c>
      <c r="G15" s="29" t="str">
        <f t="shared" si="0"/>
        <v> </v>
      </c>
      <c r="H15" s="28" t="str">
        <f t="shared" si="1"/>
        <v> </v>
      </c>
      <c r="I15" s="66" t="str">
        <f>IF(H15=" "," ",H15*Koeficienty!$B$25)</f>
        <v> </v>
      </c>
    </row>
    <row r="16" spans="1:9" ht="12.75">
      <c r="A16" s="27" t="s">
        <v>60</v>
      </c>
      <c r="B16" s="9">
        <v>1</v>
      </c>
      <c r="C16" s="9">
        <f>B16*5</f>
        <v>5</v>
      </c>
      <c r="D16" s="9">
        <f>Koeficienty!B18</f>
        <v>0.6</v>
      </c>
      <c r="E16" s="28">
        <f t="shared" si="2"/>
        <v>42.73282018631266</v>
      </c>
      <c r="F16" s="28">
        <f>IF(E16=" "," ",E16*Koeficienty!$B$25)</f>
        <v>46.5787740030808</v>
      </c>
      <c r="G16" s="29">
        <f t="shared" si="0"/>
        <v>213.6641009315633</v>
      </c>
      <c r="H16" s="28">
        <f t="shared" si="1"/>
        <v>1299.7899473336768</v>
      </c>
      <c r="I16" s="66">
        <f>IF(H16=" "," ",H16*Koeficienty!$B$25)</f>
        <v>1416.7710425937078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17"/>
      <c r="B18" s="9"/>
      <c r="C18" s="9">
        <f>SUM(C8:C17)</f>
        <v>1647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1647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70.70461206803331</v>
      </c>
      <c r="C21" s="31"/>
      <c r="D21" s="31"/>
      <c r="E21" s="22"/>
      <c r="F21" s="22"/>
      <c r="G21" s="29"/>
      <c r="H21" s="32">
        <f>B21*365/12</f>
        <v>2150.5986170693463</v>
      </c>
      <c r="I21" s="64"/>
    </row>
    <row r="22" spans="1:9" ht="12.75">
      <c r="A22" s="17" t="s">
        <v>5</v>
      </c>
      <c r="B22" s="33">
        <f>B20*B21</f>
        <v>116450.49607605087</v>
      </c>
      <c r="C22" s="34"/>
      <c r="D22" s="34"/>
      <c r="E22" s="29"/>
      <c r="F22" s="29"/>
      <c r="G22" s="35">
        <f>SUM(G8:G17)</f>
        <v>116450.49607605087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I32"/>
  <sheetViews>
    <sheetView zoomScale="85" zoomScaleNormal="85" workbookViewId="0" topLeftCell="A2">
      <selection activeCell="A47" sqref="A47"/>
    </sheetView>
  </sheetViews>
  <sheetFormatPr defaultColWidth="9.140625" defaultRowHeight="12.75"/>
  <cols>
    <col min="1" max="1" width="34.421875" style="0" customWidth="1"/>
    <col min="2" max="2" width="10.140625" style="0" customWidth="1"/>
    <col min="3" max="3" width="6.140625" style="0" customWidth="1"/>
    <col min="4" max="4" width="8.140625" style="0" customWidth="1"/>
    <col min="5" max="5" width="14.57421875" style="0" customWidth="1"/>
    <col min="6" max="6" width="13.57421875" style="0" customWidth="1"/>
    <col min="7" max="7" width="11.28125" style="0" customWidth="1"/>
    <col min="8" max="8" width="14.00390625" style="0" customWidth="1"/>
    <col min="9" max="9" width="13.00390625" style="0" customWidth="1"/>
  </cols>
  <sheetData>
    <row r="1" spans="5:7" ht="12.75" hidden="1">
      <c r="E1" s="2"/>
      <c r="F1" s="2"/>
      <c r="G1" s="2"/>
    </row>
    <row r="2" spans="1:9" ht="51.75" customHeight="1">
      <c r="A2" s="11" t="s">
        <v>35</v>
      </c>
      <c r="B2" s="15"/>
      <c r="C2" s="39"/>
      <c r="D2" s="39"/>
      <c r="E2" s="14" t="s">
        <v>28</v>
      </c>
      <c r="F2" s="14"/>
      <c r="G2" s="15"/>
      <c r="H2" s="14" t="s">
        <v>29</v>
      </c>
      <c r="I2" s="16"/>
    </row>
    <row r="3" spans="1:9" ht="12.75" customHeight="1">
      <c r="A3" s="17"/>
      <c r="B3" s="9"/>
      <c r="C3" s="18"/>
      <c r="D3" s="18"/>
      <c r="E3" s="19"/>
      <c r="F3" s="19"/>
      <c r="G3" s="9"/>
      <c r="H3" s="19"/>
      <c r="I3" s="20"/>
    </row>
    <row r="4" spans="1:9" ht="12.75">
      <c r="A4" s="17" t="s">
        <v>91</v>
      </c>
      <c r="B4" s="9"/>
      <c r="C4" s="9"/>
      <c r="D4" s="9"/>
      <c r="E4" s="21">
        <f>'Pražské koleje'!H3</f>
        <v>70.0470672526732</v>
      </c>
      <c r="F4" s="21"/>
      <c r="G4" s="9"/>
      <c r="H4" s="22">
        <f>E4*365/12</f>
        <v>2130.598295602143</v>
      </c>
      <c r="I4" s="64"/>
    </row>
    <row r="5" spans="1:9" ht="12.75">
      <c r="A5" s="17"/>
      <c r="B5" s="9"/>
      <c r="C5" s="9"/>
      <c r="D5" s="9"/>
      <c r="E5" s="22"/>
      <c r="F5" s="22"/>
      <c r="G5" s="22"/>
      <c r="H5" s="22"/>
      <c r="I5" s="64"/>
    </row>
    <row r="6" spans="1:9" ht="12.75">
      <c r="A6" s="17"/>
      <c r="B6" s="9"/>
      <c r="C6" s="9"/>
      <c r="D6" s="9"/>
      <c r="E6" s="22"/>
      <c r="F6" s="22"/>
      <c r="G6" s="22"/>
      <c r="H6" s="22"/>
      <c r="I6" s="64"/>
    </row>
    <row r="7" spans="1:9" ht="63.75" customHeight="1">
      <c r="A7" s="17"/>
      <c r="B7" s="24" t="s">
        <v>0</v>
      </c>
      <c r="C7" s="24" t="s">
        <v>7</v>
      </c>
      <c r="D7" s="24" t="s">
        <v>6</v>
      </c>
      <c r="E7" s="25" t="s">
        <v>26</v>
      </c>
      <c r="F7" s="25" t="s">
        <v>66</v>
      </c>
      <c r="G7" s="26" t="s">
        <v>8</v>
      </c>
      <c r="H7" s="25" t="s">
        <v>27</v>
      </c>
      <c r="I7" s="65" t="s">
        <v>67</v>
      </c>
    </row>
    <row r="8" spans="1:9" ht="12.75">
      <c r="A8" s="27" t="s">
        <v>56</v>
      </c>
      <c r="B8" s="9">
        <v>2</v>
      </c>
      <c r="C8" s="9">
        <f>B8*1</f>
        <v>2</v>
      </c>
      <c r="D8" s="9">
        <f>Koeficienty!B2</f>
        <v>1.25</v>
      </c>
      <c r="E8" s="28">
        <f>IF(B8&gt;0,$E$10*D8," ")</f>
        <v>86.63202746570167</v>
      </c>
      <c r="F8" s="28">
        <f>IF(E8=" "," ",E8*Koeficienty!$B$25)</f>
        <v>94.42890993761482</v>
      </c>
      <c r="G8" s="29">
        <f>IF(E8=" "," ",E8*C8)</f>
        <v>173.26405493140334</v>
      </c>
      <c r="H8" s="28">
        <f>IF(E8=" "," ",E8*365/12)</f>
        <v>2635.057502081759</v>
      </c>
      <c r="I8" s="66">
        <f>IF(H8=" "," ",H8*Koeficienty!$B$25)</f>
        <v>2872.2126772691176</v>
      </c>
    </row>
    <row r="9" spans="1:9" ht="12.75">
      <c r="A9" s="27" t="s">
        <v>61</v>
      </c>
      <c r="B9" s="9"/>
      <c r="C9" s="9">
        <f>B9*1</f>
        <v>0</v>
      </c>
      <c r="D9" s="9">
        <f>Koeficienty!B4</f>
        <v>1.4375</v>
      </c>
      <c r="E9" s="28" t="str">
        <f>IF(B9&gt;0,$E$10*D9," ")</f>
        <v> </v>
      </c>
      <c r="F9" s="28" t="str">
        <f>IF(E9=" "," ",E9*Koeficienty!$B$25)</f>
        <v> </v>
      </c>
      <c r="G9" s="29" t="str">
        <f aca="true" t="shared" si="0" ref="G9:G17">IF(E9=" "," ",E9*C9)</f>
        <v> </v>
      </c>
      <c r="H9" s="28" t="str">
        <f aca="true" t="shared" si="1" ref="H9:H17">IF(E9=" "," ",E9*365/12)</f>
        <v> </v>
      </c>
      <c r="I9" s="66" t="str">
        <f>IF(H9=" "," ",H9*Koeficienty!$B$25)</f>
        <v> </v>
      </c>
    </row>
    <row r="10" spans="1:9" ht="12.75">
      <c r="A10" s="27" t="s">
        <v>57</v>
      </c>
      <c r="B10" s="9">
        <v>663</v>
      </c>
      <c r="C10" s="9">
        <f>B10*2</f>
        <v>1326</v>
      </c>
      <c r="D10" s="9">
        <f>Koeficienty!B6</f>
        <v>1</v>
      </c>
      <c r="E10" s="28">
        <f>B22/(C8*D8+C9*D9+C10*D10+C11*D11+C12*D12+C13*D13+C14*D14+C15*D15+C16*D16+C17*D17)</f>
        <v>69.30562197256134</v>
      </c>
      <c r="F10" s="28">
        <f>IF(E10=" "," ",E10*Koeficienty!$B$25)</f>
        <v>75.54312795009187</v>
      </c>
      <c r="G10" s="29">
        <f t="shared" si="0"/>
        <v>91899.25473561634</v>
      </c>
      <c r="H10" s="28">
        <f t="shared" si="1"/>
        <v>2108.0460016654074</v>
      </c>
      <c r="I10" s="66">
        <f>IF(H10=" "," ",H10*Koeficienty!$B$25)</f>
        <v>2297.770141815294</v>
      </c>
    </row>
    <row r="11" spans="1:9" ht="12.75">
      <c r="A11" s="27" t="s">
        <v>62</v>
      </c>
      <c r="B11" s="9">
        <v>166</v>
      </c>
      <c r="C11" s="9">
        <f>B11*2</f>
        <v>332</v>
      </c>
      <c r="D11" s="9">
        <f>Koeficienty!B8</f>
        <v>1.15</v>
      </c>
      <c r="E11" s="28">
        <f aca="true" t="shared" si="2" ref="E11:E17">IF(B11&gt;0,$E$10*D11," ")</f>
        <v>79.70146526844553</v>
      </c>
      <c r="F11" s="28">
        <f>IF(E11=" "," ",E11*Koeficienty!$B$25)</f>
        <v>86.87459714260564</v>
      </c>
      <c r="G11" s="29">
        <f t="shared" si="0"/>
        <v>26460.886469123918</v>
      </c>
      <c r="H11" s="28">
        <f t="shared" si="1"/>
        <v>2424.2529019152184</v>
      </c>
      <c r="I11" s="66">
        <f>IF(H11=" "," ",H11*Koeficienty!$B$25)</f>
        <v>2642.435663087588</v>
      </c>
    </row>
    <row r="12" spans="1:9" ht="12.75">
      <c r="A12" s="27" t="s">
        <v>58</v>
      </c>
      <c r="B12" s="9"/>
      <c r="C12" s="9">
        <f>B12*3</f>
        <v>0</v>
      </c>
      <c r="D12" s="9">
        <f>Koeficienty!B10</f>
        <v>0.8</v>
      </c>
      <c r="E12" s="28" t="str">
        <f t="shared" si="2"/>
        <v> </v>
      </c>
      <c r="F12" s="28" t="str">
        <f>IF(E12=" "," ",E12*Koeficienty!$B$25)</f>
        <v> </v>
      </c>
      <c r="G12" s="29" t="str">
        <f t="shared" si="0"/>
        <v> </v>
      </c>
      <c r="H12" s="28" t="str">
        <f t="shared" si="1"/>
        <v> </v>
      </c>
      <c r="I12" s="66" t="str">
        <f>IF(H12=" "," ",H12*Koeficienty!$B$25)</f>
        <v> </v>
      </c>
    </row>
    <row r="13" spans="1:9" ht="12.75">
      <c r="A13" s="27" t="s">
        <v>63</v>
      </c>
      <c r="B13" s="9"/>
      <c r="C13" s="9">
        <f>B13*3</f>
        <v>0</v>
      </c>
      <c r="D13" s="9">
        <f>Koeficienty!B12</f>
        <v>0.9199999999999999</v>
      </c>
      <c r="E13" s="28" t="str">
        <f t="shared" si="2"/>
        <v> </v>
      </c>
      <c r="F13" s="28" t="str">
        <f>IF(E13=" "," ",E13*Koeficienty!$B$25)</f>
        <v> </v>
      </c>
      <c r="G13" s="29" t="str">
        <f t="shared" si="0"/>
        <v> </v>
      </c>
      <c r="H13" s="28" t="str">
        <f t="shared" si="1"/>
        <v> </v>
      </c>
      <c r="I13" s="66" t="str">
        <f>IF(H13=" "," ",H13*Koeficienty!$B$25)</f>
        <v> </v>
      </c>
    </row>
    <row r="14" spans="1:9" ht="12.75">
      <c r="A14" s="27" t="s">
        <v>59</v>
      </c>
      <c r="B14" s="9">
        <v>4</v>
      </c>
      <c r="C14" s="9">
        <f>B14*4</f>
        <v>16</v>
      </c>
      <c r="D14" s="9">
        <f>Koeficienty!B14</f>
        <v>0.7</v>
      </c>
      <c r="E14" s="28">
        <f t="shared" si="2"/>
        <v>48.51393538079294</v>
      </c>
      <c r="F14" s="28">
        <f>IF(E14=" "," ",E14*Koeficienty!$B$25)</f>
        <v>52.880189565064306</v>
      </c>
      <c r="G14" s="29">
        <f t="shared" si="0"/>
        <v>776.222966092687</v>
      </c>
      <c r="H14" s="28">
        <f t="shared" si="1"/>
        <v>1475.632201165785</v>
      </c>
      <c r="I14" s="66">
        <f>IF(H14=" "," ",H14*Koeficienty!$B$25)</f>
        <v>1608.4390992707058</v>
      </c>
    </row>
    <row r="15" spans="1:9" ht="12.75">
      <c r="A15" s="27" t="s">
        <v>85</v>
      </c>
      <c r="B15" s="9">
        <v>25</v>
      </c>
      <c r="C15" s="9">
        <f>B15*4</f>
        <v>100</v>
      </c>
      <c r="D15" s="9">
        <f>Koeficienty!B15</f>
        <v>0.735</v>
      </c>
      <c r="E15" s="28">
        <f t="shared" si="2"/>
        <v>50.93963214983258</v>
      </c>
      <c r="F15" s="28">
        <f>IF(E15=" "," ",E15*Koeficienty!$B$25)</f>
        <v>55.52419904331752</v>
      </c>
      <c r="G15" s="29">
        <f t="shared" si="0"/>
        <v>5093.963214983259</v>
      </c>
      <c r="H15" s="28">
        <f t="shared" si="1"/>
        <v>1549.4138112240744</v>
      </c>
      <c r="I15" s="66">
        <f>IF(H15=" "," ",H15*Koeficienty!$B$25)</f>
        <v>1688.8610542342412</v>
      </c>
    </row>
    <row r="16" spans="1:9" ht="12.75">
      <c r="A16" s="27" t="s">
        <v>60</v>
      </c>
      <c r="B16" s="9"/>
      <c r="C16" s="9">
        <f>B16*5</f>
        <v>0</v>
      </c>
      <c r="D16" s="9">
        <f>Koeficienty!B18</f>
        <v>0.6</v>
      </c>
      <c r="E16" s="28" t="str">
        <f t="shared" si="2"/>
        <v> </v>
      </c>
      <c r="F16" s="28" t="str">
        <f>IF(E16=" "," ",E16*Koeficienty!$B$25)</f>
        <v> </v>
      </c>
      <c r="G16" s="29" t="str">
        <f t="shared" si="0"/>
        <v> </v>
      </c>
      <c r="H16" s="28" t="str">
        <f t="shared" si="1"/>
        <v> </v>
      </c>
      <c r="I16" s="66" t="str">
        <f>IF(H16=" "," ",H16*Koeficienty!$B$25)</f>
        <v> </v>
      </c>
    </row>
    <row r="17" spans="1:9" ht="12.75">
      <c r="A17" s="27" t="s">
        <v>65</v>
      </c>
      <c r="B17" s="9"/>
      <c r="C17" s="9">
        <f>B17*5</f>
        <v>0</v>
      </c>
      <c r="D17" s="9">
        <f>Koeficienty!B19</f>
        <v>0.69</v>
      </c>
      <c r="E17" s="28" t="str">
        <f t="shared" si="2"/>
        <v> </v>
      </c>
      <c r="F17" s="28" t="str">
        <f>IF(E17=" "," ",E17*Koeficienty!$B$25)</f>
        <v> </v>
      </c>
      <c r="G17" s="29" t="str">
        <f t="shared" si="0"/>
        <v> </v>
      </c>
      <c r="H17" s="28" t="str">
        <f t="shared" si="1"/>
        <v> </v>
      </c>
      <c r="I17" s="66" t="str">
        <f>IF(H17=" "," ",H17*Koeficienty!$B$25)</f>
        <v> </v>
      </c>
    </row>
    <row r="18" spans="1:9" ht="12.75">
      <c r="A18" s="27"/>
      <c r="B18" s="9"/>
      <c r="C18" s="9">
        <f>SUM(C8:C17)</f>
        <v>1776</v>
      </c>
      <c r="D18" s="9"/>
      <c r="E18" s="22"/>
      <c r="F18" s="22"/>
      <c r="G18" s="29"/>
      <c r="H18" s="22"/>
      <c r="I18" s="64"/>
    </row>
    <row r="19" spans="1:9" ht="12.75">
      <c r="A19" s="30" t="s">
        <v>2</v>
      </c>
      <c r="B19" s="9"/>
      <c r="C19" s="9"/>
      <c r="D19" s="9"/>
      <c r="E19" s="22"/>
      <c r="F19" s="22"/>
      <c r="G19" s="29"/>
      <c r="H19" s="22"/>
      <c r="I19" s="64"/>
    </row>
    <row r="20" spans="1:9" ht="12.75">
      <c r="A20" s="17" t="s">
        <v>3</v>
      </c>
      <c r="B20" s="9">
        <f>C18</f>
        <v>1776</v>
      </c>
      <c r="C20" s="9"/>
      <c r="D20" s="9"/>
      <c r="E20" s="22"/>
      <c r="F20" s="22"/>
      <c r="G20" s="29"/>
      <c r="H20" s="22"/>
      <c r="I20" s="64"/>
    </row>
    <row r="21" spans="1:9" ht="12.75">
      <c r="A21" s="17" t="s">
        <v>4</v>
      </c>
      <c r="B21" s="31">
        <f>E4</f>
        <v>70.0470672526732</v>
      </c>
      <c r="C21" s="31"/>
      <c r="D21" s="31"/>
      <c r="E21" s="22"/>
      <c r="F21" s="22"/>
      <c r="G21" s="29"/>
      <c r="H21" s="32">
        <f>B21*365/12</f>
        <v>2130.598295602143</v>
      </c>
      <c r="I21" s="64"/>
    </row>
    <row r="22" spans="1:9" ht="12.75">
      <c r="A22" s="17" t="s">
        <v>5</v>
      </c>
      <c r="B22" s="33">
        <f>B20*B21</f>
        <v>124403.59144074761</v>
      </c>
      <c r="C22" s="34"/>
      <c r="D22" s="34"/>
      <c r="E22" s="29"/>
      <c r="F22" s="29"/>
      <c r="G22" s="35">
        <f>SUM(G8:G17)</f>
        <v>124403.59144074761</v>
      </c>
      <c r="H22" s="22"/>
      <c r="I22" s="64"/>
    </row>
    <row r="23" spans="1:9" ht="12.75">
      <c r="A23" s="17"/>
      <c r="B23" s="9"/>
      <c r="C23" s="9"/>
      <c r="D23" s="9"/>
      <c r="E23" s="22"/>
      <c r="F23" s="22"/>
      <c r="G23" s="22"/>
      <c r="H23" s="22"/>
      <c r="I23" s="64"/>
    </row>
    <row r="24" spans="1:9" ht="12.75">
      <c r="A24" s="36"/>
      <c r="B24" s="37"/>
      <c r="C24" s="37"/>
      <c r="D24" s="37"/>
      <c r="E24" s="38"/>
      <c r="F24" s="38"/>
      <c r="G24" s="38"/>
      <c r="H24" s="38"/>
      <c r="I24" s="67"/>
    </row>
    <row r="25" spans="5:9" ht="12.75">
      <c r="E25" s="8"/>
      <c r="F25" s="8"/>
      <c r="G25" s="8"/>
      <c r="H25" s="8"/>
      <c r="I25" s="8"/>
    </row>
    <row r="26" spans="1:9" ht="12.75">
      <c r="A26" s="56" t="s">
        <v>92</v>
      </c>
      <c r="B26" s="56"/>
      <c r="C26" s="56"/>
      <c r="D26" s="56"/>
      <c r="E26" s="57"/>
      <c r="F26" s="57"/>
      <c r="G26" s="57"/>
      <c r="H26" s="8"/>
      <c r="I26" s="8"/>
    </row>
    <row r="27" spans="1:9" ht="26.25" customHeight="1">
      <c r="A27" s="81" t="s">
        <v>93</v>
      </c>
      <c r="B27" s="82"/>
      <c r="C27" s="82"/>
      <c r="D27" s="82"/>
      <c r="E27" s="82"/>
      <c r="F27" s="82"/>
      <c r="G27" s="83"/>
      <c r="H27" s="1"/>
      <c r="I27" s="1"/>
    </row>
    <row r="28" spans="1:9" ht="26.25" customHeight="1">
      <c r="A28" s="81" t="s">
        <v>94</v>
      </c>
      <c r="B28" s="82"/>
      <c r="C28" s="82"/>
      <c r="D28" s="82"/>
      <c r="E28" s="82"/>
      <c r="F28" s="82"/>
      <c r="G28" s="83"/>
      <c r="H28" s="1"/>
      <c r="I28" s="1"/>
    </row>
    <row r="29" spans="1:9" ht="26.25" customHeight="1">
      <c r="A29" s="81" t="s">
        <v>95</v>
      </c>
      <c r="B29" s="82"/>
      <c r="C29" s="82"/>
      <c r="D29" s="82"/>
      <c r="E29" s="82"/>
      <c r="F29" s="82"/>
      <c r="G29" s="83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</sheetData>
  <mergeCells count="3">
    <mergeCell ref="A27:G27"/>
    <mergeCell ref="A28:G28"/>
    <mergeCell ref="A29:G29"/>
  </mergeCells>
  <printOptions gridLines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&amp;C&amp;F \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2008-05-29T16:05:58Z</cp:lastPrinted>
  <dcterms:created xsi:type="dcterms:W3CDTF">2005-04-21T14:55:09Z</dcterms:created>
  <dcterms:modified xsi:type="dcterms:W3CDTF">2009-05-28T15:18:28Z</dcterms:modified>
  <cp:category/>
  <cp:version/>
  <cp:contentType/>
  <cp:contentStatus/>
</cp:coreProperties>
</file>