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2024\VZH\3. UK final_VYSTUP\4. AS\20250620\"/>
    </mc:Choice>
  </mc:AlternateContent>
  <xr:revisionPtr revIDLastSave="0" documentId="14_{03C0784F-E806-4BFC-86D0-7F9B92D73F2E}" xr6:coauthVersionLast="47" xr6:coauthVersionMax="47" xr10:uidLastSave="{00000000-0000-0000-0000-000000000000}"/>
  <bookViews>
    <workbookView xWindow="-120" yWindow="-120" windowWidth="25440" windowHeight="15270" tabRatio="904" firstSheet="1" activeTab="18" xr2:uid="{00000000-000D-0000-FFFF-FFFF00000000}"/>
  </bookViews>
  <sheets>
    <sheet name="Legenda a varování gestorům" sheetId="103" state="hidden" r:id="rId1"/>
    <sheet name="1" sheetId="27" r:id="rId2"/>
    <sheet name="2" sheetId="24" r:id="rId3"/>
    <sheet name="2a" sheetId="29" r:id="rId4"/>
    <sheet name="2b" sheetId="30" r:id="rId5"/>
    <sheet name="2b1_43" sheetId="78" state="hidden" r:id="rId6"/>
    <sheet name="2b2_08" sheetId="80" state="hidden" r:id="rId7"/>
    <sheet name="2b3_16" sheetId="81" state="hidden" r:id="rId8"/>
    <sheet name="2b4_31" sheetId="82" state="hidden" r:id="rId9"/>
    <sheet name="3" sheetId="36" r:id="rId10"/>
    <sheet name="5 " sheetId="98" r:id="rId11"/>
    <sheet name="5.a" sheetId="99" r:id="rId12"/>
    <sheet name="5.b" sheetId="100" r:id="rId13"/>
    <sheet name="5.c" sheetId="101" r:id="rId14"/>
    <sheet name="5.d" sheetId="102" r:id="rId15"/>
    <sheet name="6" sheetId="46" r:id="rId16"/>
    <sheet name="7" sheetId="65" r:id="rId17"/>
    <sheet name="8" sheetId="76" r:id="rId18"/>
    <sheet name="9" sheetId="89" r:id="rId19"/>
    <sheet name="10" sheetId="51" r:id="rId20"/>
    <sheet name="11" sheetId="52" r:id="rId21"/>
    <sheet name="11.a" sheetId="53" r:id="rId22"/>
    <sheet name="11.b" sheetId="54" r:id="rId23"/>
    <sheet name="11.c" sheetId="55" r:id="rId24"/>
    <sheet name="11.d" sheetId="56" r:id="rId25"/>
    <sheet name="11.e" sheetId="57" r:id="rId26"/>
    <sheet name="11.f" sheetId="58" r:id="rId27"/>
    <sheet name="11.g" sheetId="59" r:id="rId28"/>
    <sheet name="Přehled majetku a jeho vývoj" sheetId="77" state="hidden" r:id="rId29"/>
  </sheets>
  <definedNames>
    <definedName name="_xlnm._FilterDatabase" localSheetId="10" hidden="1">'5 '!$A$1:$I$36</definedName>
    <definedName name="_xlnm.Print_Titles" localSheetId="1">'1'!$5:$5</definedName>
    <definedName name="_xlnm.Print_Titles" localSheetId="10">'5 '!$4:$6</definedName>
    <definedName name="_xlnm.Print_Area" localSheetId="1">'1'!$A$1:$E$145</definedName>
    <definedName name="_xlnm.Print_Area" localSheetId="19">'10'!$A$1:$N$60</definedName>
    <definedName name="_xlnm.Print_Area" localSheetId="20">'11'!$A$1:$M$22</definedName>
    <definedName name="_xlnm.Print_Area" localSheetId="21">'11.a'!$A$1:$D$25</definedName>
    <definedName name="_xlnm.Print_Area" localSheetId="22">'11.b'!$A$1:$C$47</definedName>
    <definedName name="_xlnm.Print_Area" localSheetId="23">'11.c'!$A$1:$C$15</definedName>
    <definedName name="_xlnm.Print_Area" localSheetId="24">'11.d'!$A$1:$C$28</definedName>
    <definedName name="_xlnm.Print_Area" localSheetId="25">'11.e'!$A$1:$F$27</definedName>
    <definedName name="_xlnm.Print_Area" localSheetId="26">'11.f'!$A$1:$C$27</definedName>
    <definedName name="_xlnm.Print_Area" localSheetId="27">'11.g'!$A$1:$C$31</definedName>
    <definedName name="_xlnm.Print_Area" localSheetId="2">'2'!$A$1:$E$77</definedName>
    <definedName name="_xlnm.Print_Area" localSheetId="3">'2a'!$A$1:$E$77</definedName>
    <definedName name="_xlnm.Print_Area" localSheetId="4">'2b'!$A$1:$E$77</definedName>
    <definedName name="_xlnm.Print_Area" localSheetId="5">'2b1_43'!$A$1:$E$76</definedName>
    <definedName name="_xlnm.Print_Area" localSheetId="6">'2b2_08'!$A$1:$E$76</definedName>
    <definedName name="_xlnm.Print_Area" localSheetId="7">'2b3_16'!$A$1:$E$76</definedName>
    <definedName name="_xlnm.Print_Area" localSheetId="8">'2b4_31'!$A$1:$E$76</definedName>
    <definedName name="_xlnm.Print_Area" localSheetId="9">'3'!$A$1:$D$32</definedName>
    <definedName name="_xlnm.Print_Area" localSheetId="10">'5 '!$A$1:$N$62</definedName>
    <definedName name="_xlnm.Print_Area" localSheetId="11">'5.a'!$A$1:$Q$54</definedName>
    <definedName name="_xlnm.Print_Area" localSheetId="12">'5.b'!$A$1:$R$60</definedName>
    <definedName name="_xlnm.Print_Area" localSheetId="13">'5.c'!$A$1:$O$32</definedName>
    <definedName name="_xlnm.Print_Area" localSheetId="14">'5.d'!$A$1:$U$81</definedName>
    <definedName name="_xlnm.Print_Area" localSheetId="15">'6'!$A$1:$I$34</definedName>
    <definedName name="_xlnm.Print_Area" localSheetId="16">'7'!$A$1:$F$33</definedName>
    <definedName name="_xlnm.Print_Area" localSheetId="17">'8'!$A$1:$X$46</definedName>
    <definedName name="_xlnm.Print_Area" localSheetId="18">'9'!$A$1:$M$33</definedName>
    <definedName name="_xlnm.Print_Area" localSheetId="28">'Přehled majetku a jeho vývoj'!$A$1:$E$24</definedName>
    <definedName name="Z_2AF6EA2A_E5C5_45EB_B6C4_875AD1E4E056_.wvu.FilterData" localSheetId="10" hidden="1">'5 '!$A$1:$I$36</definedName>
    <definedName name="Z_2AF6EA2A_E5C5_45EB_B6C4_875AD1E4E056_.wvu.PrintTitles" localSheetId="10" hidden="1">'5 '!$4:$6</definedName>
  </definedNames>
  <calcPr calcId="191029"/>
  <customWorkbookViews>
    <customWorkbookView name="Uldrichová Marie – osobní zobrazení" guid="{2AF6EA2A-E5C5-45EB-B6C4-875AD1E4E056}" mergeInterval="0" personalView="1" maximized="1" windowWidth="1676" windowHeight="755" tabRatio="82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89" l="1"/>
  <c r="A7" i="102" l="1"/>
  <c r="A8" i="102" s="1"/>
  <c r="A9" i="102" s="1"/>
  <c r="A10" i="102" s="1"/>
  <c r="A11" i="102" s="1"/>
  <c r="A13" i="102" s="1"/>
  <c r="A14" i="102" s="1"/>
  <c r="A16" i="102" l="1"/>
  <c r="A15" i="102"/>
  <c r="A17" i="102"/>
  <c r="A18" i="102" s="1"/>
  <c r="A19" i="102" s="1"/>
  <c r="A20" i="102" s="1"/>
  <c r="A21" i="102" s="1"/>
  <c r="A23" i="102" s="1"/>
  <c r="A24" i="102" s="1"/>
  <c r="A27" i="102" s="1"/>
  <c r="A28" i="102" s="1"/>
  <c r="A30" i="102" s="1"/>
  <c r="A31" i="102" s="1"/>
  <c r="A32" i="102" s="1"/>
  <c r="A34" i="102" s="1"/>
  <c r="A35" i="102" s="1"/>
  <c r="A37" i="102" s="1"/>
  <c r="A38" i="102" s="1"/>
  <c r="N30" i="102"/>
  <c r="N7" i="102"/>
  <c r="N6" i="102" s="1"/>
  <c r="N68" i="102" s="1"/>
  <c r="N19" i="102"/>
  <c r="N18" i="102" s="1"/>
  <c r="N69" i="102" s="1"/>
  <c r="N14" i="102"/>
  <c r="N11" i="102"/>
  <c r="C45" i="54"/>
  <c r="C39" i="54"/>
  <c r="C32" i="54"/>
  <c r="N70" i="102" l="1"/>
  <c r="A39" i="102"/>
  <c r="A40" i="102" s="1"/>
  <c r="A41" i="102" s="1"/>
  <c r="A42" i="102" s="1"/>
  <c r="A43" i="102"/>
  <c r="F8" i="99"/>
  <c r="G8" i="99"/>
  <c r="H8" i="99"/>
  <c r="K8" i="99"/>
  <c r="L8" i="99"/>
  <c r="M8" i="99"/>
  <c r="O8" i="99"/>
  <c r="P8" i="99"/>
  <c r="E8" i="99"/>
  <c r="E19" i="99"/>
  <c r="F19" i="99"/>
  <c r="G19" i="99"/>
  <c r="H19" i="99"/>
  <c r="A7" i="99"/>
  <c r="A8" i="99"/>
  <c r="A9" i="99" s="1"/>
  <c r="A10" i="99" s="1"/>
  <c r="A11" i="99" s="1"/>
  <c r="A12" i="99" s="1"/>
  <c r="A13" i="99" s="1"/>
  <c r="A14" i="99" s="1"/>
  <c r="A15" i="99" s="1"/>
  <c r="A16" i="99" s="1"/>
  <c r="I9" i="99"/>
  <c r="J9" i="99"/>
  <c r="I10" i="99"/>
  <c r="J10" i="99"/>
  <c r="Q10" i="99"/>
  <c r="I11" i="99"/>
  <c r="J11" i="99"/>
  <c r="Q11" i="99" s="1"/>
  <c r="N11" i="99"/>
  <c r="I12" i="99"/>
  <c r="J12" i="99"/>
  <c r="Q12" i="99" s="1"/>
  <c r="I13" i="99"/>
  <c r="J13" i="99"/>
  <c r="N13" i="99"/>
  <c r="Q13" i="99"/>
  <c r="I14" i="99"/>
  <c r="J14" i="99"/>
  <c r="Q14" i="99" s="1"/>
  <c r="I15" i="99"/>
  <c r="J15" i="99"/>
  <c r="Q15" i="99" s="1"/>
  <c r="I16" i="99"/>
  <c r="J16" i="99"/>
  <c r="Q16" i="99" s="1"/>
  <c r="I17" i="99"/>
  <c r="J17" i="99"/>
  <c r="Q17" i="99"/>
  <c r="I18" i="99"/>
  <c r="J18" i="99"/>
  <c r="N18" i="99"/>
  <c r="Q18" i="99"/>
  <c r="K19" i="99"/>
  <c r="L19" i="99"/>
  <c r="M19" i="99"/>
  <c r="P19" i="99"/>
  <c r="I20" i="99"/>
  <c r="J20" i="99"/>
  <c r="I21" i="99"/>
  <c r="J21" i="99"/>
  <c r="Q21" i="99" s="1"/>
  <c r="I22" i="99"/>
  <c r="J22" i="99"/>
  <c r="Q22" i="99" s="1"/>
  <c r="I23" i="99"/>
  <c r="J23" i="99"/>
  <c r="N23" i="99"/>
  <c r="Q23" i="99"/>
  <c r="I24" i="99"/>
  <c r="J24" i="99"/>
  <c r="N24" i="99"/>
  <c r="Q24" i="99"/>
  <c r="I25" i="99"/>
  <c r="J25" i="99"/>
  <c r="N25" i="99"/>
  <c r="Q25" i="99"/>
  <c r="E26" i="99"/>
  <c r="F26" i="99"/>
  <c r="G26" i="99"/>
  <c r="H26" i="99"/>
  <c r="K26" i="99"/>
  <c r="L26" i="99"/>
  <c r="M26" i="99"/>
  <c r="P26" i="99"/>
  <c r="I27" i="99"/>
  <c r="J27" i="99"/>
  <c r="N27" i="99"/>
  <c r="Q27" i="99"/>
  <c r="I28" i="99"/>
  <c r="J28" i="99"/>
  <c r="Q28" i="99" s="1"/>
  <c r="I29" i="99"/>
  <c r="J29" i="99"/>
  <c r="N29" i="99"/>
  <c r="Q29" i="99"/>
  <c r="I30" i="99"/>
  <c r="N30" i="99" s="1"/>
  <c r="J30" i="99"/>
  <c r="Q30" i="99" s="1"/>
  <c r="I31" i="99"/>
  <c r="J31" i="99"/>
  <c r="Q31" i="99" s="1"/>
  <c r="N31" i="99"/>
  <c r="I32" i="99"/>
  <c r="J32" i="99"/>
  <c r="N32" i="99"/>
  <c r="Q32" i="99"/>
  <c r="I33" i="99"/>
  <c r="J33" i="99"/>
  <c r="Q33" i="99" s="1"/>
  <c r="I34" i="99"/>
  <c r="J34" i="99"/>
  <c r="N34" i="99"/>
  <c r="Q34" i="99"/>
  <c r="I35" i="99"/>
  <c r="J35" i="99"/>
  <c r="N35" i="99"/>
  <c r="Q35" i="99"/>
  <c r="I36" i="99"/>
  <c r="N36" i="99" s="1"/>
  <c r="J36" i="99"/>
  <c r="Q36" i="99"/>
  <c r="E37" i="99"/>
  <c r="F37" i="99"/>
  <c r="G37" i="99"/>
  <c r="H37" i="99"/>
  <c r="K37" i="99"/>
  <c r="L37" i="99"/>
  <c r="M37" i="99"/>
  <c r="P37" i="99"/>
  <c r="I38" i="99"/>
  <c r="J38" i="99"/>
  <c r="I39" i="99"/>
  <c r="J39" i="99"/>
  <c r="Q39" i="99"/>
  <c r="E41" i="99"/>
  <c r="F41" i="99"/>
  <c r="G41" i="99"/>
  <c r="G40" i="99" s="1"/>
  <c r="H41" i="99"/>
  <c r="H40" i="99" s="1"/>
  <c r="K41" i="99"/>
  <c r="L41" i="99"/>
  <c r="M41" i="99"/>
  <c r="P41" i="99"/>
  <c r="I42" i="99"/>
  <c r="J42" i="99"/>
  <c r="Q42" i="99"/>
  <c r="I43" i="99"/>
  <c r="J43" i="99"/>
  <c r="Q43" i="99"/>
  <c r="E44" i="99"/>
  <c r="F44" i="99"/>
  <c r="G44" i="99"/>
  <c r="H44" i="99"/>
  <c r="K44" i="99"/>
  <c r="L44" i="99"/>
  <c r="M44" i="99"/>
  <c r="P44" i="99"/>
  <c r="I45" i="99"/>
  <c r="I44" i="99" s="1"/>
  <c r="J45" i="99"/>
  <c r="J44" i="99" s="1"/>
  <c r="A44" i="102" l="1"/>
  <c r="A45" i="102" s="1"/>
  <c r="A46" i="102" s="1"/>
  <c r="J8" i="99"/>
  <c r="I8" i="99"/>
  <c r="H7" i="99"/>
  <c r="H46" i="99" s="1"/>
  <c r="G7" i="99"/>
  <c r="G46" i="99" s="1"/>
  <c r="F7" i="99"/>
  <c r="N14" i="99"/>
  <c r="N42" i="99"/>
  <c r="E7" i="99"/>
  <c r="P40" i="99"/>
  <c r="M40" i="99"/>
  <c r="Q45" i="99"/>
  <c r="Q44" i="99" s="1"/>
  <c r="L40" i="99"/>
  <c r="P7" i="99"/>
  <c r="N45" i="99"/>
  <c r="N44" i="99" s="1"/>
  <c r="K40" i="99"/>
  <c r="J37" i="99"/>
  <c r="N28" i="99"/>
  <c r="N10" i="99"/>
  <c r="N33" i="99"/>
  <c r="N26" i="99" s="1"/>
  <c r="N17" i="99"/>
  <c r="J41" i="99"/>
  <c r="J40" i="99" s="1"/>
  <c r="A17" i="99"/>
  <c r="A18" i="99" s="1"/>
  <c r="A19" i="99" s="1"/>
  <c r="A20" i="99" s="1"/>
  <c r="A22" i="99" s="1"/>
  <c r="A23" i="99" s="1"/>
  <c r="A24" i="99" s="1"/>
  <c r="A25" i="99" s="1"/>
  <c r="A26" i="99" s="1"/>
  <c r="A27" i="99" s="1"/>
  <c r="A28" i="99" s="1"/>
  <c r="A29" i="99" s="1"/>
  <c r="A30" i="99" s="1"/>
  <c r="A31" i="99" s="1"/>
  <c r="A32" i="99" s="1"/>
  <c r="A33" i="99" s="1"/>
  <c r="A34" i="99" s="1"/>
  <c r="A35" i="99" s="1"/>
  <c r="A36" i="99" s="1"/>
  <c r="A37" i="99" s="1"/>
  <c r="A38" i="99" s="1"/>
  <c r="A39" i="99" s="1"/>
  <c r="A40" i="99" s="1"/>
  <c r="A41" i="99" s="1"/>
  <c r="A42" i="99" s="1"/>
  <c r="A43" i="99" s="1"/>
  <c r="A44" i="99" s="1"/>
  <c r="A45" i="99" s="1"/>
  <c r="A46" i="99" s="1"/>
  <c r="N21" i="99"/>
  <c r="I37" i="99"/>
  <c r="N43" i="99"/>
  <c r="N41" i="99" s="1"/>
  <c r="N40" i="99" s="1"/>
  <c r="N16" i="99"/>
  <c r="I41" i="99"/>
  <c r="I40" i="99" s="1"/>
  <c r="E40" i="99"/>
  <c r="E46" i="99" s="1"/>
  <c r="F40" i="99"/>
  <c r="Q41" i="99"/>
  <c r="Q38" i="99"/>
  <c r="Q37" i="99" s="1"/>
  <c r="N39" i="99"/>
  <c r="N38" i="99"/>
  <c r="P46" i="99"/>
  <c r="Q26" i="99"/>
  <c r="J26" i="99"/>
  <c r="I26" i="99"/>
  <c r="M7" i="99"/>
  <c r="M46" i="99" s="1"/>
  <c r="L7" i="99"/>
  <c r="L46" i="99" s="1"/>
  <c r="K7" i="99"/>
  <c r="K46" i="99" s="1"/>
  <c r="I19" i="99"/>
  <c r="N12" i="99"/>
  <c r="I7" i="99"/>
  <c r="N15" i="99"/>
  <c r="Q9" i="99"/>
  <c r="Q8" i="99" s="1"/>
  <c r="J19" i="99"/>
  <c r="N9" i="99"/>
  <c r="Q20" i="99"/>
  <c r="Q19" i="99" s="1"/>
  <c r="Q7" i="99" s="1"/>
  <c r="N22" i="99"/>
  <c r="N20" i="99"/>
  <c r="A47" i="102" l="1"/>
  <c r="A48" i="102" s="1"/>
  <c r="A49" i="102"/>
  <c r="N37" i="99"/>
  <c r="N19" i="99"/>
  <c r="Q40" i="99"/>
  <c r="Q46" i="99" s="1"/>
  <c r="N8" i="99"/>
  <c r="F46" i="99"/>
  <c r="J7" i="99"/>
  <c r="I46" i="99"/>
  <c r="J46" i="99"/>
  <c r="N7" i="99" l="1"/>
  <c r="N46" i="99" s="1"/>
  <c r="A50" i="102"/>
  <c r="C66" i="36"/>
  <c r="C34" i="36"/>
  <c r="C23" i="36"/>
  <c r="A51" i="102" l="1"/>
  <c r="A52" i="102"/>
  <c r="J19" i="101"/>
  <c r="O19" i="101" s="1"/>
  <c r="I19" i="101"/>
  <c r="K19" i="101" s="1"/>
  <c r="J18" i="101"/>
  <c r="O18" i="101" s="1"/>
  <c r="I18" i="101"/>
  <c r="K18" i="101" s="1"/>
  <c r="J17" i="101"/>
  <c r="O17" i="101" s="1"/>
  <c r="I17" i="101"/>
  <c r="J16" i="101"/>
  <c r="O16" i="101" s="1"/>
  <c r="I16" i="101"/>
  <c r="K16" i="101" s="1"/>
  <c r="Q22" i="24"/>
  <c r="P22" i="24"/>
  <c r="R22" i="24" s="1"/>
  <c r="S22" i="24" s="1"/>
  <c r="A53" i="102" l="1"/>
  <c r="K17" i="101"/>
  <c r="I54" i="51"/>
  <c r="M54" i="51" s="1"/>
  <c r="L54" i="51"/>
  <c r="N54" i="51" s="1"/>
  <c r="A54" i="102" l="1"/>
  <c r="A55" i="102"/>
  <c r="L17" i="24"/>
  <c r="K17" i="24"/>
  <c r="M17" i="24" s="1"/>
  <c r="G112" i="27"/>
  <c r="G64" i="27"/>
  <c r="H64" i="27"/>
  <c r="G60" i="27"/>
  <c r="H60" i="27" s="1"/>
  <c r="G59" i="27"/>
  <c r="H59" i="27" s="1"/>
  <c r="G56" i="27"/>
  <c r="H56" i="27" s="1"/>
  <c r="G53" i="27"/>
  <c r="H53" i="27" s="1"/>
  <c r="G51" i="27"/>
  <c r="H51" i="27" s="1"/>
  <c r="G42" i="27"/>
  <c r="H42" i="27" s="1"/>
  <c r="A56" i="102" l="1"/>
  <c r="A57" i="102" s="1"/>
  <c r="B23" i="36"/>
  <c r="B66" i="36"/>
  <c r="A58" i="102" l="1"/>
  <c r="A59" i="102"/>
  <c r="I27" i="100"/>
  <c r="J27" i="100"/>
  <c r="R27" i="100" s="1"/>
  <c r="M46" i="102"/>
  <c r="T46" i="102" s="1"/>
  <c r="T45" i="102" s="1"/>
  <c r="L46" i="102"/>
  <c r="L45" i="102" s="1"/>
  <c r="U45" i="102"/>
  <c r="S45" i="102"/>
  <c r="Q45" i="102"/>
  <c r="O45" i="102"/>
  <c r="K45" i="102"/>
  <c r="J45" i="102"/>
  <c r="I45" i="102"/>
  <c r="H45" i="102"/>
  <c r="M44" i="102"/>
  <c r="M43" i="102" s="1"/>
  <c r="L44" i="102"/>
  <c r="U43" i="102"/>
  <c r="S43" i="102"/>
  <c r="Q43" i="102"/>
  <c r="O43" i="102"/>
  <c r="K43" i="102"/>
  <c r="J43" i="102"/>
  <c r="I43" i="102"/>
  <c r="H43" i="102"/>
  <c r="A60" i="102" l="1"/>
  <c r="M45" i="102"/>
  <c r="P44" i="102"/>
  <c r="P43" i="102" s="1"/>
  <c r="P46" i="102"/>
  <c r="P45" i="102" s="1"/>
  <c r="T44" i="102"/>
  <c r="T43" i="102" s="1"/>
  <c r="L43" i="102"/>
  <c r="L52" i="102"/>
  <c r="M52" i="102"/>
  <c r="T52" i="102" s="1"/>
  <c r="L58" i="102"/>
  <c r="M58" i="102"/>
  <c r="L55" i="102"/>
  <c r="M55" i="102"/>
  <c r="T55" i="102" s="1"/>
  <c r="U56" i="102"/>
  <c r="S56" i="102"/>
  <c r="U53" i="102"/>
  <c r="S53" i="102"/>
  <c r="Q56" i="102"/>
  <c r="O56" i="102"/>
  <c r="Q53" i="102"/>
  <c r="O53" i="102"/>
  <c r="K56" i="102"/>
  <c r="J56" i="102"/>
  <c r="I56" i="102"/>
  <c r="H56" i="102"/>
  <c r="K53" i="102"/>
  <c r="J53" i="102"/>
  <c r="I53" i="102"/>
  <c r="H53" i="102"/>
  <c r="U50" i="102"/>
  <c r="S50" i="102"/>
  <c r="Q50" i="102"/>
  <c r="O50" i="102"/>
  <c r="K50" i="102"/>
  <c r="J50" i="102"/>
  <c r="I50" i="102"/>
  <c r="H50" i="102"/>
  <c r="A61" i="102" l="1"/>
  <c r="A64" i="102"/>
  <c r="P55" i="102"/>
  <c r="P52" i="102"/>
  <c r="P58" i="102"/>
  <c r="T58" i="102"/>
  <c r="A65" i="102" l="1"/>
  <c r="L16" i="102"/>
  <c r="M16" i="102"/>
  <c r="T16" i="102" s="1"/>
  <c r="A66" i="102" l="1"/>
  <c r="A67" i="102" s="1"/>
  <c r="A68" i="102"/>
  <c r="P16" i="102"/>
  <c r="H9" i="46"/>
  <c r="A69" i="102" l="1"/>
  <c r="A70" i="102" s="1"/>
  <c r="W46" i="24"/>
  <c r="V46" i="24"/>
  <c r="V47" i="24"/>
  <c r="K49" i="24"/>
  <c r="H25" i="36" l="1"/>
  <c r="G25" i="36"/>
  <c r="F25" i="36"/>
  <c r="G33" i="100" l="1"/>
  <c r="H33" i="100"/>
  <c r="E33" i="100"/>
  <c r="H7" i="102" l="1"/>
  <c r="E16" i="100" l="1"/>
  <c r="L16" i="100" l="1"/>
  <c r="M16" i="100"/>
  <c r="N16" i="100"/>
  <c r="O16" i="100"/>
  <c r="H16" i="100"/>
  <c r="G16" i="100"/>
  <c r="F16" i="100"/>
  <c r="E28" i="76" l="1"/>
  <c r="F28" i="76"/>
  <c r="H28" i="76"/>
  <c r="I28" i="76"/>
  <c r="K62" i="24"/>
  <c r="V44" i="24" l="1"/>
  <c r="V66" i="24" l="1"/>
  <c r="E60" i="81" l="1"/>
  <c r="D60" i="81"/>
  <c r="U41" i="102" l="1"/>
  <c r="S41" i="102"/>
  <c r="Q41" i="102"/>
  <c r="O41" i="102"/>
  <c r="K41" i="102"/>
  <c r="J41" i="102"/>
  <c r="I41" i="102"/>
  <c r="H41" i="102"/>
  <c r="U39" i="102"/>
  <c r="S39" i="102"/>
  <c r="Q39" i="102"/>
  <c r="O39" i="102"/>
  <c r="K39" i="102"/>
  <c r="J39" i="102"/>
  <c r="I39" i="102"/>
  <c r="H39" i="102"/>
  <c r="M42" i="102"/>
  <c r="M41" i="102" s="1"/>
  <c r="L42" i="102"/>
  <c r="M40" i="102"/>
  <c r="M39" i="102" s="1"/>
  <c r="L40" i="102"/>
  <c r="T40" i="102" l="1"/>
  <c r="T39" i="102" s="1"/>
  <c r="P40" i="102"/>
  <c r="P39" i="102" s="1"/>
  <c r="T42" i="102"/>
  <c r="T41" i="102" s="1"/>
  <c r="L39" i="102"/>
  <c r="P42" i="102"/>
  <c r="P41" i="102" s="1"/>
  <c r="L41" i="102"/>
  <c r="L17" i="102"/>
  <c r="M17" i="102"/>
  <c r="T17" i="102" s="1"/>
  <c r="P17" i="102" l="1"/>
  <c r="L26" i="102"/>
  <c r="M26" i="102"/>
  <c r="T26" i="102" s="1"/>
  <c r="P26" i="102" l="1"/>
  <c r="U23" i="102"/>
  <c r="S23" i="102"/>
  <c r="Q23" i="102"/>
  <c r="O23" i="102"/>
  <c r="K23" i="102"/>
  <c r="J23" i="102"/>
  <c r="I23" i="102"/>
  <c r="H23" i="102"/>
  <c r="L25" i="102"/>
  <c r="M25" i="102"/>
  <c r="T25" i="102" s="1"/>
  <c r="P25" i="102" l="1"/>
  <c r="U14" i="102"/>
  <c r="S14" i="102"/>
  <c r="Q14" i="102"/>
  <c r="O14" i="102"/>
  <c r="K14" i="102"/>
  <c r="J14" i="102"/>
  <c r="I14" i="102"/>
  <c r="H14" i="102"/>
  <c r="M29" i="102" l="1"/>
  <c r="L29" i="102"/>
  <c r="M28" i="102"/>
  <c r="T28" i="102" s="1"/>
  <c r="L28" i="102"/>
  <c r="M24" i="102"/>
  <c r="M23" i="102" s="1"/>
  <c r="L24" i="102"/>
  <c r="L23" i="102" s="1"/>
  <c r="M15" i="102"/>
  <c r="M14" i="102" s="1"/>
  <c r="L15" i="102"/>
  <c r="M13" i="102"/>
  <c r="T13" i="102" s="1"/>
  <c r="L13" i="102"/>
  <c r="M12" i="102"/>
  <c r="T12" i="102" s="1"/>
  <c r="L12" i="102"/>
  <c r="U27" i="102"/>
  <c r="S27" i="102"/>
  <c r="Q27" i="102"/>
  <c r="O27" i="102"/>
  <c r="K27" i="102"/>
  <c r="J27" i="102"/>
  <c r="I27" i="102"/>
  <c r="H27" i="102"/>
  <c r="U11" i="102"/>
  <c r="S11" i="102"/>
  <c r="Q11" i="102"/>
  <c r="O11" i="102"/>
  <c r="K11" i="102"/>
  <c r="J11" i="102"/>
  <c r="I11" i="102"/>
  <c r="H11" i="102"/>
  <c r="P29" i="102" l="1"/>
  <c r="M27" i="102"/>
  <c r="P28" i="102"/>
  <c r="L11" i="102"/>
  <c r="Z13" i="102" s="1"/>
  <c r="P24" i="102"/>
  <c r="P23" i="102" s="1"/>
  <c r="T24" i="102"/>
  <c r="T23" i="102" s="1"/>
  <c r="T29" i="102"/>
  <c r="T27" i="102" s="1"/>
  <c r="L27" i="102"/>
  <c r="P12" i="102"/>
  <c r="T15" i="102"/>
  <c r="T14" i="102" s="1"/>
  <c r="M11" i="102"/>
  <c r="P15" i="102"/>
  <c r="P14" i="102" s="1"/>
  <c r="L14" i="102"/>
  <c r="Z15" i="102" s="1"/>
  <c r="T11" i="102"/>
  <c r="P13" i="102"/>
  <c r="P27" i="102" l="1"/>
  <c r="P11" i="102"/>
  <c r="Q16" i="100"/>
  <c r="Q15" i="100" s="1"/>
  <c r="N15" i="100"/>
  <c r="L15" i="100"/>
  <c r="O15" i="100"/>
  <c r="M15" i="100"/>
  <c r="H15" i="100"/>
  <c r="G15" i="100"/>
  <c r="F15" i="100"/>
  <c r="I17" i="100"/>
  <c r="J17" i="100"/>
  <c r="R17" i="100" s="1"/>
  <c r="I18" i="100"/>
  <c r="J18" i="100"/>
  <c r="R18" i="100" s="1"/>
  <c r="Q33" i="100"/>
  <c r="Q32" i="100" s="1"/>
  <c r="O33" i="100"/>
  <c r="O32" i="100" s="1"/>
  <c r="N33" i="100"/>
  <c r="N32" i="100" s="1"/>
  <c r="M33" i="100"/>
  <c r="M32" i="100" s="1"/>
  <c r="L33" i="100"/>
  <c r="L32" i="100" s="1"/>
  <c r="F33" i="100"/>
  <c r="F32" i="100" s="1"/>
  <c r="G32" i="100"/>
  <c r="I34" i="100"/>
  <c r="J34" i="100"/>
  <c r="R34" i="100" s="1"/>
  <c r="I35" i="100"/>
  <c r="J35" i="100"/>
  <c r="R35" i="100" s="1"/>
  <c r="I36" i="100"/>
  <c r="J36" i="100"/>
  <c r="R36" i="100" s="1"/>
  <c r="J20" i="101"/>
  <c r="O20" i="101" s="1"/>
  <c r="J21" i="101"/>
  <c r="O21" i="101" s="1"/>
  <c r="I20" i="101"/>
  <c r="I21" i="101"/>
  <c r="J9" i="101"/>
  <c r="O9" i="101" s="1"/>
  <c r="U48" i="24"/>
  <c r="K47" i="24"/>
  <c r="S46" i="24" s="1"/>
  <c r="Q51" i="24" s="1"/>
  <c r="J47" i="24"/>
  <c r="J60" i="24" s="1"/>
  <c r="M10" i="100"/>
  <c r="M8" i="100" s="1"/>
  <c r="N10" i="100"/>
  <c r="N8" i="100" s="1"/>
  <c r="O10" i="100"/>
  <c r="O8" i="100" s="1"/>
  <c r="A8" i="65"/>
  <c r="A9" i="65" s="1"/>
  <c r="A10" i="65" s="1"/>
  <c r="A11" i="65" s="1"/>
  <c r="A12" i="65" s="1"/>
  <c r="A13" i="65" s="1"/>
  <c r="A14" i="65" s="1"/>
  <c r="A15" i="65" s="1"/>
  <c r="A16" i="65" s="1"/>
  <c r="A17" i="65" s="1"/>
  <c r="A18" i="65" s="1"/>
  <c r="A19" i="65" s="1"/>
  <c r="A20" i="65" s="1"/>
  <c r="A21" i="65" s="1"/>
  <c r="A22" i="65" s="1"/>
  <c r="A23" i="65" s="1"/>
  <c r="A24" i="65" s="1"/>
  <c r="A25" i="65" s="1"/>
  <c r="T35" i="27"/>
  <c r="R52" i="24"/>
  <c r="S52" i="24" s="1"/>
  <c r="L30" i="76"/>
  <c r="L105" i="76" s="1"/>
  <c r="L31" i="76"/>
  <c r="L32" i="76"/>
  <c r="K30" i="76"/>
  <c r="K31" i="76"/>
  <c r="K32" i="76"/>
  <c r="L29" i="76"/>
  <c r="L104" i="76" s="1"/>
  <c r="K29" i="76"/>
  <c r="L23" i="76"/>
  <c r="L24" i="76"/>
  <c r="L25" i="76"/>
  <c r="L26" i="76"/>
  <c r="L101" i="76" s="1"/>
  <c r="L27" i="76"/>
  <c r="L22" i="76"/>
  <c r="L97" i="76" s="1"/>
  <c r="K23" i="76"/>
  <c r="K98" i="76" s="1"/>
  <c r="K24" i="76"/>
  <c r="K25" i="76"/>
  <c r="K100" i="76" s="1"/>
  <c r="K26" i="76"/>
  <c r="K101" i="76" s="1"/>
  <c r="K27" i="76"/>
  <c r="K102" i="76" s="1"/>
  <c r="K22" i="76"/>
  <c r="K97" i="76" s="1"/>
  <c r="H33" i="76"/>
  <c r="E33" i="76"/>
  <c r="J96" i="27"/>
  <c r="G39" i="27"/>
  <c r="G38" i="27"/>
  <c r="H38" i="27" s="1"/>
  <c r="G36" i="27"/>
  <c r="H36" i="27" s="1"/>
  <c r="J44" i="27"/>
  <c r="J43" i="27"/>
  <c r="C93" i="36"/>
  <c r="J15" i="101"/>
  <c r="O15" i="101" s="1"/>
  <c r="I15" i="101"/>
  <c r="J14" i="101"/>
  <c r="O14" i="101" s="1"/>
  <c r="I14" i="101"/>
  <c r="J13" i="101"/>
  <c r="O13" i="101" s="1"/>
  <c r="I13" i="101"/>
  <c r="J12" i="101"/>
  <c r="O12" i="101" s="1"/>
  <c r="I12" i="101"/>
  <c r="J11" i="101"/>
  <c r="O11" i="101" s="1"/>
  <c r="I11" i="101"/>
  <c r="J10" i="101"/>
  <c r="O10" i="101" s="1"/>
  <c r="I10" i="101"/>
  <c r="I9" i="101"/>
  <c r="J8" i="101"/>
  <c r="O8" i="101" s="1"/>
  <c r="I8" i="101"/>
  <c r="J7" i="101"/>
  <c r="O7" i="101" s="1"/>
  <c r="I7" i="101"/>
  <c r="J6" i="101"/>
  <c r="O6" i="101" s="1"/>
  <c r="I6" i="101"/>
  <c r="A8" i="89"/>
  <c r="A9" i="89" s="1"/>
  <c r="A10" i="89" s="1"/>
  <c r="A11" i="89" s="1"/>
  <c r="A12" i="89" s="1"/>
  <c r="A13" i="89" s="1"/>
  <c r="A14" i="89" s="1"/>
  <c r="A15" i="89" s="1"/>
  <c r="A16" i="89" s="1"/>
  <c r="D9" i="77"/>
  <c r="K15" i="98"/>
  <c r="J15" i="98"/>
  <c r="H15" i="98"/>
  <c r="A10" i="51"/>
  <c r="A11" i="51" s="1"/>
  <c r="A12" i="51" s="1"/>
  <c r="A13" i="51" s="1"/>
  <c r="A14" i="51" s="1"/>
  <c r="A15" i="51" s="1"/>
  <c r="A16" i="51" s="1"/>
  <c r="A17" i="51" s="1"/>
  <c r="L10" i="51"/>
  <c r="N10" i="51" s="1"/>
  <c r="L11" i="51"/>
  <c r="N11" i="51" s="1"/>
  <c r="L12" i="51"/>
  <c r="N12" i="51" s="1"/>
  <c r="B93" i="36"/>
  <c r="O70" i="36"/>
  <c r="N70" i="36"/>
  <c r="M67" i="102"/>
  <c r="T67" i="102" s="1"/>
  <c r="T66" i="102" s="1"/>
  <c r="T65" i="102" s="1"/>
  <c r="L67" i="102"/>
  <c r="L66" i="102" s="1"/>
  <c r="L65" i="102" s="1"/>
  <c r="L29" i="98" s="1"/>
  <c r="U66" i="102"/>
  <c r="U65" i="102" s="1"/>
  <c r="S66" i="102"/>
  <c r="S65" i="102" s="1"/>
  <c r="Q66" i="102"/>
  <c r="Q65" i="102" s="1"/>
  <c r="O66" i="102"/>
  <c r="O65" i="102" s="1"/>
  <c r="K66" i="102"/>
  <c r="K65" i="102" s="1"/>
  <c r="K29" i="98" s="1"/>
  <c r="J66" i="102"/>
  <c r="J65" i="102" s="1"/>
  <c r="J29" i="98" s="1"/>
  <c r="I66" i="102"/>
  <c r="I65" i="102" s="1"/>
  <c r="I29" i="98" s="1"/>
  <c r="H66" i="102"/>
  <c r="H65" i="102" s="1"/>
  <c r="H29" i="98" s="1"/>
  <c r="M64" i="102"/>
  <c r="L64" i="102"/>
  <c r="M63" i="102"/>
  <c r="L63" i="102"/>
  <c r="M62" i="102"/>
  <c r="T62" i="102" s="1"/>
  <c r="L62" i="102"/>
  <c r="M61" i="102"/>
  <c r="T61" i="102" s="1"/>
  <c r="L61" i="102"/>
  <c r="U60" i="102"/>
  <c r="U59" i="102" s="1"/>
  <c r="S60" i="102"/>
  <c r="S59" i="102" s="1"/>
  <c r="Q60" i="102"/>
  <c r="Q59" i="102" s="1"/>
  <c r="O60" i="102"/>
  <c r="O59" i="102" s="1"/>
  <c r="K60" i="102"/>
  <c r="K59" i="102" s="1"/>
  <c r="K28" i="98" s="1"/>
  <c r="J60" i="102"/>
  <c r="J59" i="102" s="1"/>
  <c r="J28" i="98" s="1"/>
  <c r="I60" i="102"/>
  <c r="I59" i="102" s="1"/>
  <c r="I28" i="98" s="1"/>
  <c r="H60" i="102"/>
  <c r="H59" i="102" s="1"/>
  <c r="H28" i="98" s="1"/>
  <c r="M57" i="102"/>
  <c r="L57" i="102"/>
  <c r="L56" i="102" s="1"/>
  <c r="M54" i="102"/>
  <c r="L54" i="102"/>
  <c r="L53" i="102" s="1"/>
  <c r="M51" i="102"/>
  <c r="M50" i="102" s="1"/>
  <c r="L51" i="102"/>
  <c r="L50" i="102" s="1"/>
  <c r="M48" i="102"/>
  <c r="M47" i="102" s="1"/>
  <c r="L48" i="102"/>
  <c r="U47" i="102"/>
  <c r="S47" i="102"/>
  <c r="Q47" i="102"/>
  <c r="O47" i="102"/>
  <c r="K47" i="102"/>
  <c r="J47" i="102"/>
  <c r="I47" i="102"/>
  <c r="H47" i="102"/>
  <c r="M38" i="102"/>
  <c r="M37" i="102" s="1"/>
  <c r="L38" i="102"/>
  <c r="L37" i="102" s="1"/>
  <c r="U37" i="102"/>
  <c r="S37" i="102"/>
  <c r="Q37" i="102"/>
  <c r="O37" i="102"/>
  <c r="K37" i="102"/>
  <c r="J37" i="102"/>
  <c r="I37" i="102"/>
  <c r="H37" i="102"/>
  <c r="M36" i="102"/>
  <c r="T36" i="102" s="1"/>
  <c r="L36" i="102"/>
  <c r="M35" i="102"/>
  <c r="T35" i="102" s="1"/>
  <c r="L35" i="102"/>
  <c r="U34" i="102"/>
  <c r="S34" i="102"/>
  <c r="Q34" i="102"/>
  <c r="O34" i="102"/>
  <c r="K34" i="102"/>
  <c r="J34" i="102"/>
  <c r="I34" i="102"/>
  <c r="H34" i="102"/>
  <c r="M33" i="102"/>
  <c r="L33" i="102"/>
  <c r="M32" i="102"/>
  <c r="T32" i="102" s="1"/>
  <c r="L32" i="102"/>
  <c r="U31" i="102"/>
  <c r="S31" i="102"/>
  <c r="Q31" i="102"/>
  <c r="O31" i="102"/>
  <c r="K31" i="102"/>
  <c r="J31" i="102"/>
  <c r="I31" i="102"/>
  <c r="H31" i="102"/>
  <c r="M22" i="102"/>
  <c r="T22" i="102" s="1"/>
  <c r="L22" i="102"/>
  <c r="M21" i="102"/>
  <c r="T21" i="102" s="1"/>
  <c r="L21" i="102"/>
  <c r="M20" i="102"/>
  <c r="T20" i="102" s="1"/>
  <c r="L20" i="102"/>
  <c r="U19" i="102"/>
  <c r="U18" i="102" s="1"/>
  <c r="S19" i="102"/>
  <c r="S18" i="102" s="1"/>
  <c r="Q19" i="102"/>
  <c r="Q18" i="102" s="1"/>
  <c r="O19" i="102"/>
  <c r="O18" i="102" s="1"/>
  <c r="K19" i="102"/>
  <c r="J19" i="102"/>
  <c r="J18" i="102" s="1"/>
  <c r="I19" i="102"/>
  <c r="I18" i="102" s="1"/>
  <c r="H19" i="102"/>
  <c r="H18" i="102" s="1"/>
  <c r="M10" i="102"/>
  <c r="T10" i="102" s="1"/>
  <c r="L10" i="102"/>
  <c r="M9" i="102"/>
  <c r="T9" i="102" s="1"/>
  <c r="L9" i="102"/>
  <c r="M8" i="102"/>
  <c r="L8" i="102"/>
  <c r="U7" i="102"/>
  <c r="U6" i="102" s="1"/>
  <c r="S7" i="102"/>
  <c r="S6" i="102" s="1"/>
  <c r="Q7" i="102"/>
  <c r="Q6" i="102" s="1"/>
  <c r="O7" i="102"/>
  <c r="O6" i="102" s="1"/>
  <c r="K7" i="102"/>
  <c r="J7" i="102"/>
  <c r="J6" i="102" s="1"/>
  <c r="J11" i="98" s="1"/>
  <c r="I7" i="102"/>
  <c r="H6" i="102"/>
  <c r="M22" i="101"/>
  <c r="H22" i="101"/>
  <c r="K16" i="98" s="1"/>
  <c r="G22" i="101"/>
  <c r="J16" i="98" s="1"/>
  <c r="F22" i="101"/>
  <c r="I16" i="98" s="1"/>
  <c r="E22" i="101"/>
  <c r="H16" i="98" s="1"/>
  <c r="A22" i="101"/>
  <c r="J48" i="100"/>
  <c r="R48" i="100" s="1"/>
  <c r="R47" i="100" s="1"/>
  <c r="I48" i="100"/>
  <c r="I47" i="100" s="1"/>
  <c r="Q47" i="100"/>
  <c r="O47" i="100"/>
  <c r="N47" i="100"/>
  <c r="M47" i="100"/>
  <c r="L47" i="100"/>
  <c r="H47" i="100"/>
  <c r="G47" i="100"/>
  <c r="F47" i="100"/>
  <c r="E47" i="100"/>
  <c r="J46" i="100"/>
  <c r="R46" i="100" s="1"/>
  <c r="I46" i="100"/>
  <c r="J45" i="100"/>
  <c r="R45" i="100" s="1"/>
  <c r="I45" i="100"/>
  <c r="J44" i="100"/>
  <c r="R44" i="100" s="1"/>
  <c r="I44" i="100"/>
  <c r="Q43" i="100"/>
  <c r="O43" i="100"/>
  <c r="N43" i="100"/>
  <c r="M43" i="100"/>
  <c r="L43" i="100"/>
  <c r="H43" i="100"/>
  <c r="G43" i="100"/>
  <c r="F43" i="100"/>
  <c r="E43" i="100"/>
  <c r="J41" i="100"/>
  <c r="R41" i="100" s="1"/>
  <c r="I41" i="100"/>
  <c r="J40" i="100"/>
  <c r="R40" i="100" s="1"/>
  <c r="I40" i="100"/>
  <c r="Q39" i="100"/>
  <c r="O39" i="100"/>
  <c r="N39" i="100"/>
  <c r="M39" i="100"/>
  <c r="L39" i="100"/>
  <c r="H39" i="100"/>
  <c r="K32" i="98" s="1"/>
  <c r="G39" i="100"/>
  <c r="J32" i="98" s="1"/>
  <c r="F39" i="100"/>
  <c r="I32" i="98" s="1"/>
  <c r="E39" i="100"/>
  <c r="H32" i="98" s="1"/>
  <c r="J38" i="100"/>
  <c r="R38" i="100" s="1"/>
  <c r="I38" i="100"/>
  <c r="J37" i="100"/>
  <c r="R37" i="100" s="1"/>
  <c r="I37" i="100"/>
  <c r="J31" i="100"/>
  <c r="R31" i="100" s="1"/>
  <c r="I31" i="100"/>
  <c r="J30" i="100"/>
  <c r="R30" i="100" s="1"/>
  <c r="I30" i="100"/>
  <c r="J29" i="100"/>
  <c r="I29" i="100"/>
  <c r="J28" i="100"/>
  <c r="R28" i="100" s="1"/>
  <c r="I28" i="100"/>
  <c r="J26" i="100"/>
  <c r="R26" i="100" s="1"/>
  <c r="I26" i="100"/>
  <c r="J25" i="100"/>
  <c r="R25" i="100" s="1"/>
  <c r="I25" i="100"/>
  <c r="Q24" i="100"/>
  <c r="O24" i="100"/>
  <c r="N24" i="100"/>
  <c r="M24" i="100"/>
  <c r="L24" i="100"/>
  <c r="H24" i="100"/>
  <c r="G24" i="100"/>
  <c r="F24" i="100"/>
  <c r="E24" i="100"/>
  <c r="J22" i="100"/>
  <c r="R22" i="100" s="1"/>
  <c r="I22" i="100"/>
  <c r="J21" i="100"/>
  <c r="R21" i="100" s="1"/>
  <c r="I21" i="100"/>
  <c r="J20" i="100"/>
  <c r="R20" i="100" s="1"/>
  <c r="I20" i="100"/>
  <c r="J19" i="100"/>
  <c r="R19" i="100" s="1"/>
  <c r="I19" i="100"/>
  <c r="J14" i="100"/>
  <c r="R14" i="100" s="1"/>
  <c r="I14" i="100"/>
  <c r="J13" i="100"/>
  <c r="R13" i="100" s="1"/>
  <c r="I13" i="100"/>
  <c r="J12" i="100"/>
  <c r="R12" i="100" s="1"/>
  <c r="I12" i="100"/>
  <c r="J11" i="100"/>
  <c r="R11" i="100" s="1"/>
  <c r="I11" i="100"/>
  <c r="Q10" i="100"/>
  <c r="Q8" i="100" s="1"/>
  <c r="L10" i="100"/>
  <c r="L8" i="100" s="1"/>
  <c r="H10" i="100"/>
  <c r="H8" i="100" s="1"/>
  <c r="G10" i="100"/>
  <c r="G8" i="100" s="1"/>
  <c r="F10" i="100"/>
  <c r="F8" i="100" s="1"/>
  <c r="E10" i="100"/>
  <c r="E8" i="100" s="1"/>
  <c r="J9" i="100"/>
  <c r="R9" i="100" s="1"/>
  <c r="I9" i="100"/>
  <c r="A8" i="100"/>
  <c r="A9" i="100" s="1"/>
  <c r="A10" i="100" s="1"/>
  <c r="A11" i="100" s="1"/>
  <c r="A12" i="100" s="1"/>
  <c r="K31" i="98"/>
  <c r="J31" i="98"/>
  <c r="I31" i="98"/>
  <c r="H31" i="98"/>
  <c r="K24" i="98"/>
  <c r="J24" i="98"/>
  <c r="I24" i="98"/>
  <c r="H24" i="98"/>
  <c r="K17" i="98"/>
  <c r="I17" i="98"/>
  <c r="H17" i="98"/>
  <c r="G8" i="98"/>
  <c r="G9" i="98" s="1"/>
  <c r="G10" i="98" s="1"/>
  <c r="G11" i="98" s="1"/>
  <c r="G12" i="98" s="1"/>
  <c r="G13" i="98" s="1"/>
  <c r="G14" i="98" s="1"/>
  <c r="G15" i="98" s="1"/>
  <c r="G16" i="98" s="1"/>
  <c r="G17" i="98" s="1"/>
  <c r="G18" i="98" s="1"/>
  <c r="G19" i="98" s="1"/>
  <c r="G20" i="98" s="1"/>
  <c r="G21" i="98" s="1"/>
  <c r="G22" i="98" s="1"/>
  <c r="G23" i="98" s="1"/>
  <c r="G24" i="98" s="1"/>
  <c r="G25" i="98" s="1"/>
  <c r="G26" i="98" s="1"/>
  <c r="G27" i="98" s="1"/>
  <c r="G28" i="98" s="1"/>
  <c r="G29" i="98" s="1"/>
  <c r="G30" i="98" s="1"/>
  <c r="G31" i="98" s="1"/>
  <c r="G32" i="98" s="1"/>
  <c r="G33" i="98" s="1"/>
  <c r="G34" i="98" s="1"/>
  <c r="G35" i="98" s="1"/>
  <c r="G37" i="98" s="1"/>
  <c r="G38" i="98" s="1"/>
  <c r="G39" i="98" s="1"/>
  <c r="G40" i="98" s="1"/>
  <c r="G41" i="98" s="1"/>
  <c r="G42" i="98" s="1"/>
  <c r="G43" i="98" s="1"/>
  <c r="G44" i="98" s="1"/>
  <c r="G45" i="98" s="1"/>
  <c r="G46" i="98" s="1"/>
  <c r="G47" i="98" s="1"/>
  <c r="G48" i="98" s="1"/>
  <c r="G49" i="98" s="1"/>
  <c r="G50" i="98" s="1"/>
  <c r="G51" i="98" s="1"/>
  <c r="G52" i="98" s="1"/>
  <c r="G53" i="98" s="1"/>
  <c r="G54" i="98" s="1"/>
  <c r="G55" i="98" s="1"/>
  <c r="G56" i="98" s="1"/>
  <c r="I43" i="51"/>
  <c r="M43" i="51" s="1"/>
  <c r="Q41" i="36"/>
  <c r="R41" i="36" s="1"/>
  <c r="Q40" i="36"/>
  <c r="R40" i="36" s="1"/>
  <c r="Q39" i="36"/>
  <c r="R39" i="36" s="1"/>
  <c r="Q38" i="36"/>
  <c r="R38" i="36" s="1"/>
  <c r="C96" i="36"/>
  <c r="B96" i="36"/>
  <c r="C95" i="36"/>
  <c r="B95" i="36"/>
  <c r="C94" i="36"/>
  <c r="B94" i="36"/>
  <c r="C92" i="36"/>
  <c r="B92" i="36"/>
  <c r="C91" i="36"/>
  <c r="B91" i="36"/>
  <c r="C90" i="36"/>
  <c r="B90" i="36"/>
  <c r="C89" i="36"/>
  <c r="B89" i="36"/>
  <c r="C88" i="36"/>
  <c r="B88" i="36"/>
  <c r="C87" i="36"/>
  <c r="B87" i="36"/>
  <c r="C86" i="36"/>
  <c r="B86" i="36"/>
  <c r="C85" i="36"/>
  <c r="B85" i="36"/>
  <c r="C84" i="36"/>
  <c r="B84" i="36"/>
  <c r="C83" i="36"/>
  <c r="B83" i="36"/>
  <c r="C82" i="36"/>
  <c r="B82" i="36"/>
  <c r="C81" i="36"/>
  <c r="B81" i="36"/>
  <c r="C80" i="36"/>
  <c r="B80" i="36"/>
  <c r="C79" i="36"/>
  <c r="B79" i="36"/>
  <c r="C78" i="36"/>
  <c r="B78" i="36"/>
  <c r="C77" i="36"/>
  <c r="B77" i="36"/>
  <c r="C76" i="36"/>
  <c r="B76" i="36"/>
  <c r="C75" i="36"/>
  <c r="B75" i="36"/>
  <c r="C74" i="36"/>
  <c r="B74" i="36"/>
  <c r="C70" i="36"/>
  <c r="D69" i="36"/>
  <c r="Q69" i="36" s="1"/>
  <c r="D68" i="36"/>
  <c r="Q68" i="36" s="1"/>
  <c r="D67" i="36"/>
  <c r="Q67" i="36" s="1"/>
  <c r="G66" i="36"/>
  <c r="F66" i="36"/>
  <c r="D65" i="36"/>
  <c r="Q65" i="36" s="1"/>
  <c r="D64" i="36"/>
  <c r="Q64" i="36" s="1"/>
  <c r="D63" i="36"/>
  <c r="Q63" i="36" s="1"/>
  <c r="D62" i="36"/>
  <c r="Q62" i="36" s="1"/>
  <c r="D61" i="36"/>
  <c r="Q61" i="36" s="1"/>
  <c r="D60" i="36"/>
  <c r="Q60" i="36" s="1"/>
  <c r="D59" i="36"/>
  <c r="Q59" i="36" s="1"/>
  <c r="D58" i="36"/>
  <c r="Q58" i="36" s="1"/>
  <c r="D57" i="36"/>
  <c r="Q57" i="36" s="1"/>
  <c r="D56" i="36"/>
  <c r="Q56" i="36" s="1"/>
  <c r="D55" i="36"/>
  <c r="Q55" i="36" s="1"/>
  <c r="D54" i="36"/>
  <c r="Q54" i="36" s="1"/>
  <c r="D53" i="36"/>
  <c r="Q53" i="36" s="1"/>
  <c r="D52" i="36"/>
  <c r="Q52" i="36" s="1"/>
  <c r="D51" i="36"/>
  <c r="Q51" i="36" s="1"/>
  <c r="D50" i="36"/>
  <c r="Q50" i="36" s="1"/>
  <c r="D49" i="36"/>
  <c r="Q49" i="36" s="1"/>
  <c r="D48" i="36"/>
  <c r="Q48" i="36" s="1"/>
  <c r="D47" i="36"/>
  <c r="Q47" i="36" s="1"/>
  <c r="C40" i="36"/>
  <c r="C41" i="36" s="1"/>
  <c r="B40" i="36"/>
  <c r="B41" i="36" s="1"/>
  <c r="D39" i="36"/>
  <c r="D38" i="36"/>
  <c r="D34" i="36"/>
  <c r="D33" i="36"/>
  <c r="K26" i="36"/>
  <c r="J26" i="36"/>
  <c r="K25" i="36"/>
  <c r="J25" i="36"/>
  <c r="K24" i="36"/>
  <c r="J24" i="36"/>
  <c r="J23" i="36"/>
  <c r="K22" i="36"/>
  <c r="J22" i="36"/>
  <c r="K21" i="36"/>
  <c r="J21" i="36"/>
  <c r="K20" i="36"/>
  <c r="J20" i="36"/>
  <c r="K19" i="36"/>
  <c r="J19" i="36"/>
  <c r="K18" i="36"/>
  <c r="J18" i="36"/>
  <c r="K17" i="36"/>
  <c r="J17" i="36"/>
  <c r="K16" i="36"/>
  <c r="J16" i="36"/>
  <c r="K15" i="36"/>
  <c r="J15" i="36"/>
  <c r="K14" i="36"/>
  <c r="J14" i="36"/>
  <c r="K13" i="36"/>
  <c r="J13" i="36"/>
  <c r="K12" i="36"/>
  <c r="J12" i="36"/>
  <c r="K11" i="36"/>
  <c r="J11" i="36"/>
  <c r="K10" i="36"/>
  <c r="J10" i="36"/>
  <c r="K9" i="36"/>
  <c r="J9" i="36"/>
  <c r="K8" i="36"/>
  <c r="J8" i="36"/>
  <c r="K7" i="36"/>
  <c r="J7" i="36"/>
  <c r="K6" i="36"/>
  <c r="J6" i="36"/>
  <c r="K5" i="36"/>
  <c r="J5" i="36"/>
  <c r="K4" i="36"/>
  <c r="J4" i="36"/>
  <c r="O38" i="27"/>
  <c r="G136" i="27"/>
  <c r="H136" i="27" s="1"/>
  <c r="G135" i="27"/>
  <c r="H135" i="27" s="1"/>
  <c r="G133" i="27"/>
  <c r="G132" i="27"/>
  <c r="H132" i="27" s="1"/>
  <c r="G131" i="27"/>
  <c r="G130" i="27"/>
  <c r="G129" i="27"/>
  <c r="G128" i="27"/>
  <c r="G127" i="27"/>
  <c r="H127" i="27" s="1"/>
  <c r="G126" i="27"/>
  <c r="G125" i="27"/>
  <c r="H125" i="27" s="1"/>
  <c r="G124" i="27"/>
  <c r="G123" i="27"/>
  <c r="H123" i="27" s="1"/>
  <c r="G122" i="27"/>
  <c r="H122" i="27" s="1"/>
  <c r="G121" i="27"/>
  <c r="H121" i="27" s="1"/>
  <c r="G120" i="27"/>
  <c r="H120" i="27" s="1"/>
  <c r="G119" i="27"/>
  <c r="H119" i="27" s="1"/>
  <c r="G118" i="27"/>
  <c r="G117" i="27"/>
  <c r="H117" i="27" s="1"/>
  <c r="G116" i="27"/>
  <c r="H116" i="27" s="1"/>
  <c r="G115" i="27"/>
  <c r="H115" i="27" s="1"/>
  <c r="G114" i="27"/>
  <c r="H114" i="27" s="1"/>
  <c r="G113" i="27"/>
  <c r="H113" i="27" s="1"/>
  <c r="G111" i="27"/>
  <c r="H111" i="27" s="1"/>
  <c r="G109" i="27"/>
  <c r="H109" i="27" s="1"/>
  <c r="G107" i="27"/>
  <c r="G106" i="27"/>
  <c r="H106" i="27" s="1"/>
  <c r="G101" i="27"/>
  <c r="G93" i="27"/>
  <c r="H93" i="27" s="1"/>
  <c r="G92" i="27"/>
  <c r="H92" i="27" s="1"/>
  <c r="G87" i="27"/>
  <c r="H87" i="27" s="1"/>
  <c r="G86" i="27"/>
  <c r="H86" i="27" s="1"/>
  <c r="G80" i="27"/>
  <c r="H80" i="27" s="1"/>
  <c r="G79" i="27"/>
  <c r="H79" i="27" s="1"/>
  <c r="G78" i="27"/>
  <c r="H78" i="27" s="1"/>
  <c r="G76" i="27"/>
  <c r="H76" i="27" s="1"/>
  <c r="G75" i="27"/>
  <c r="H75" i="27" s="1"/>
  <c r="G74" i="27"/>
  <c r="H74" i="27" s="1"/>
  <c r="G65" i="27"/>
  <c r="H65" i="27" s="1"/>
  <c r="G63" i="27"/>
  <c r="H63" i="27" s="1"/>
  <c r="G62" i="27"/>
  <c r="H62" i="27" s="1"/>
  <c r="G61" i="27"/>
  <c r="H61" i="27" s="1"/>
  <c r="G58" i="27"/>
  <c r="H58" i="27" s="1"/>
  <c r="G55" i="27"/>
  <c r="H55" i="27" s="1"/>
  <c r="G54" i="27"/>
  <c r="H54" i="27" s="1"/>
  <c r="G52" i="27"/>
  <c r="H52" i="27" s="1"/>
  <c r="G50" i="27"/>
  <c r="H50" i="27" s="1"/>
  <c r="G48" i="27"/>
  <c r="H48" i="27" s="1"/>
  <c r="G41" i="27"/>
  <c r="H41" i="27" s="1"/>
  <c r="G40" i="27"/>
  <c r="P38" i="27"/>
  <c r="N38" i="27"/>
  <c r="G29" i="27"/>
  <c r="H29" i="27" s="1"/>
  <c r="G26" i="27"/>
  <c r="G25" i="27"/>
  <c r="G24" i="27"/>
  <c r="H24" i="27" s="1"/>
  <c r="G23" i="27"/>
  <c r="H23" i="27" s="1"/>
  <c r="G20" i="27"/>
  <c r="G19" i="27"/>
  <c r="H19" i="27" s="1"/>
  <c r="G18" i="27"/>
  <c r="H18" i="27" s="1"/>
  <c r="G17" i="27"/>
  <c r="H17" i="27" s="1"/>
  <c r="G15" i="27"/>
  <c r="H15" i="27" s="1"/>
  <c r="G14" i="27"/>
  <c r="H14" i="27" s="1"/>
  <c r="G13" i="27"/>
  <c r="H13" i="27" s="1"/>
  <c r="G12" i="27"/>
  <c r="H12" i="27" s="1"/>
  <c r="G10" i="27"/>
  <c r="H10" i="27" s="1"/>
  <c r="E40" i="78"/>
  <c r="D40" i="78"/>
  <c r="L61" i="24"/>
  <c r="M61" i="24" s="1"/>
  <c r="L43" i="24"/>
  <c r="N43" i="24" s="1"/>
  <c r="K43" i="24"/>
  <c r="M43" i="24" s="1"/>
  <c r="L41" i="24"/>
  <c r="K41" i="24"/>
  <c r="L39" i="24"/>
  <c r="N39" i="24" s="1"/>
  <c r="K39" i="24"/>
  <c r="M39" i="24" s="1"/>
  <c r="L38" i="24"/>
  <c r="N38" i="24" s="1"/>
  <c r="K38" i="24"/>
  <c r="L37" i="24"/>
  <c r="K37" i="24"/>
  <c r="L36" i="24"/>
  <c r="K36" i="24"/>
  <c r="M36" i="24" s="1"/>
  <c r="L35" i="24"/>
  <c r="N35" i="24" s="1"/>
  <c r="K35" i="24"/>
  <c r="M35" i="24" s="1"/>
  <c r="L33" i="24"/>
  <c r="N33" i="24" s="1"/>
  <c r="K33" i="24"/>
  <c r="M33" i="24" s="1"/>
  <c r="L32" i="24"/>
  <c r="N32" i="24" s="1"/>
  <c r="K32" i="24"/>
  <c r="M32" i="24" s="1"/>
  <c r="L31" i="24"/>
  <c r="N31" i="24" s="1"/>
  <c r="K31" i="24"/>
  <c r="M31" i="24" s="1"/>
  <c r="L30" i="24"/>
  <c r="N30" i="24" s="1"/>
  <c r="K30" i="24"/>
  <c r="M30" i="24" s="1"/>
  <c r="L29" i="24"/>
  <c r="K29" i="24"/>
  <c r="M29" i="24" s="1"/>
  <c r="L28" i="24"/>
  <c r="N28" i="24" s="1"/>
  <c r="K28" i="24"/>
  <c r="M28" i="24" s="1"/>
  <c r="L27" i="24"/>
  <c r="N27" i="24" s="1"/>
  <c r="K27" i="24"/>
  <c r="M27" i="24" s="1"/>
  <c r="L25" i="24"/>
  <c r="N25" i="24" s="1"/>
  <c r="K25" i="24"/>
  <c r="M25" i="24" s="1"/>
  <c r="L23" i="24"/>
  <c r="N23" i="24" s="1"/>
  <c r="K23" i="24"/>
  <c r="M23" i="24" s="1"/>
  <c r="L22" i="24"/>
  <c r="N22" i="24" s="1"/>
  <c r="K22" i="24"/>
  <c r="M22" i="24" s="1"/>
  <c r="L21" i="24"/>
  <c r="K21" i="24"/>
  <c r="L20" i="24"/>
  <c r="N20" i="24" s="1"/>
  <c r="K20" i="24"/>
  <c r="M20" i="24" s="1"/>
  <c r="L19" i="24"/>
  <c r="N19" i="24" s="1"/>
  <c r="K19" i="24"/>
  <c r="M19" i="24" s="1"/>
  <c r="L16" i="24"/>
  <c r="K16" i="24"/>
  <c r="M16" i="24" s="1"/>
  <c r="L15" i="24"/>
  <c r="K15" i="24"/>
  <c r="M15" i="24" s="1"/>
  <c r="L13" i="24"/>
  <c r="N13" i="24" s="1"/>
  <c r="K13" i="24"/>
  <c r="M13" i="24" s="1"/>
  <c r="L12" i="24"/>
  <c r="N12" i="24" s="1"/>
  <c r="K12" i="24"/>
  <c r="M12" i="24" s="1"/>
  <c r="L11" i="24"/>
  <c r="N11" i="24" s="1"/>
  <c r="K11" i="24"/>
  <c r="M11" i="24" s="1"/>
  <c r="L10" i="24"/>
  <c r="N10" i="24" s="1"/>
  <c r="K10" i="24"/>
  <c r="M10" i="24" s="1"/>
  <c r="L9" i="24"/>
  <c r="N9" i="24" s="1"/>
  <c r="K9" i="24"/>
  <c r="M9" i="24" s="1"/>
  <c r="L8" i="24"/>
  <c r="N8" i="24" s="1"/>
  <c r="K8" i="24"/>
  <c r="M8" i="24" s="1"/>
  <c r="D56" i="51"/>
  <c r="E56" i="51"/>
  <c r="F56" i="51"/>
  <c r="G56" i="51"/>
  <c r="H56" i="51"/>
  <c r="J56" i="51"/>
  <c r="K56" i="51"/>
  <c r="L39" i="51"/>
  <c r="N39" i="51" s="1"/>
  <c r="I39" i="51"/>
  <c r="M39" i="51" s="1"/>
  <c r="I13" i="52"/>
  <c r="I12" i="52"/>
  <c r="K13" i="52"/>
  <c r="K12" i="52"/>
  <c r="H13" i="52"/>
  <c r="H12" i="52"/>
  <c r="H11" i="46"/>
  <c r="L18" i="51"/>
  <c r="N18" i="51" s="1"/>
  <c r="L19" i="51"/>
  <c r="N19" i="51" s="1"/>
  <c r="L20" i="51"/>
  <c r="N20" i="51" s="1"/>
  <c r="L21" i="51"/>
  <c r="N21" i="51" s="1"/>
  <c r="L22" i="51"/>
  <c r="N22" i="51" s="1"/>
  <c r="L23" i="51"/>
  <c r="N23" i="51" s="1"/>
  <c r="I18" i="51"/>
  <c r="M18" i="51" s="1"/>
  <c r="I19" i="51"/>
  <c r="M19" i="51" s="1"/>
  <c r="I20" i="51"/>
  <c r="M20" i="51" s="1"/>
  <c r="I21" i="51"/>
  <c r="M21" i="51" s="1"/>
  <c r="I22" i="51"/>
  <c r="M22" i="51" s="1"/>
  <c r="I23" i="51"/>
  <c r="M23" i="51" s="1"/>
  <c r="I12" i="51"/>
  <c r="M12" i="51" s="1"/>
  <c r="F18" i="46"/>
  <c r="D18" i="46"/>
  <c r="F13" i="46"/>
  <c r="D13" i="46"/>
  <c r="F5" i="46"/>
  <c r="D5" i="46"/>
  <c r="H23" i="46"/>
  <c r="H22" i="46"/>
  <c r="H21" i="46"/>
  <c r="H20" i="46"/>
  <c r="H19" i="46"/>
  <c r="H17" i="46"/>
  <c r="H16" i="46"/>
  <c r="H15" i="46"/>
  <c r="H14" i="46"/>
  <c r="H7" i="46"/>
  <c r="H8" i="46"/>
  <c r="H10" i="46"/>
  <c r="H6" i="46"/>
  <c r="I12" i="46"/>
  <c r="H12" i="46"/>
  <c r="G65" i="24"/>
  <c r="G64" i="24"/>
  <c r="G63" i="24"/>
  <c r="G62" i="24"/>
  <c r="G61" i="24"/>
  <c r="G59" i="24"/>
  <c r="J59" i="24" s="1"/>
  <c r="G58" i="24"/>
  <c r="J58" i="24" s="1"/>
  <c r="L58" i="24" s="1"/>
  <c r="M58" i="24" s="1"/>
  <c r="G57" i="24"/>
  <c r="J57" i="24" s="1"/>
  <c r="L57" i="24" s="1"/>
  <c r="M57" i="24" s="1"/>
  <c r="G56" i="24"/>
  <c r="J56" i="24" s="1"/>
  <c r="L56" i="24" s="1"/>
  <c r="M56" i="24" s="1"/>
  <c r="G55" i="24"/>
  <c r="J55" i="24" s="1"/>
  <c r="L55" i="24" s="1"/>
  <c r="M55" i="24" s="1"/>
  <c r="G54" i="24"/>
  <c r="J54" i="24" s="1"/>
  <c r="L54" i="24" s="1"/>
  <c r="M54" i="24" s="1"/>
  <c r="G52" i="24"/>
  <c r="J52" i="24" s="1"/>
  <c r="L52" i="24" s="1"/>
  <c r="M52" i="24" s="1"/>
  <c r="G51" i="24"/>
  <c r="G50" i="24"/>
  <c r="G49" i="24"/>
  <c r="G47" i="24"/>
  <c r="W47" i="24" s="1"/>
  <c r="X47" i="24" s="1"/>
  <c r="G8" i="24"/>
  <c r="G9" i="24"/>
  <c r="G10" i="24"/>
  <c r="G11" i="24"/>
  <c r="G12" i="24"/>
  <c r="G13" i="24"/>
  <c r="G15" i="24"/>
  <c r="G16" i="24"/>
  <c r="G17" i="24"/>
  <c r="G19" i="24"/>
  <c r="G20" i="24"/>
  <c r="G21" i="24"/>
  <c r="G22" i="24"/>
  <c r="G23" i="24"/>
  <c r="G25" i="24"/>
  <c r="G27" i="24"/>
  <c r="G28" i="24"/>
  <c r="G29" i="24"/>
  <c r="G30" i="24"/>
  <c r="G31" i="24"/>
  <c r="G32" i="24"/>
  <c r="G33" i="24"/>
  <c r="G35" i="24"/>
  <c r="G36" i="24"/>
  <c r="G37" i="24"/>
  <c r="G38" i="24"/>
  <c r="G39" i="24"/>
  <c r="G41" i="24"/>
  <c r="G43" i="24"/>
  <c r="K24" i="51"/>
  <c r="J24" i="51"/>
  <c r="H24" i="51"/>
  <c r="G24" i="51"/>
  <c r="F24" i="51"/>
  <c r="E24" i="51"/>
  <c r="D24" i="51"/>
  <c r="C24" i="51"/>
  <c r="E48" i="82"/>
  <c r="E48" i="81"/>
  <c r="D48" i="82"/>
  <c r="D48" i="81"/>
  <c r="E48" i="80"/>
  <c r="D48" i="80"/>
  <c r="D48" i="78"/>
  <c r="E48" i="78"/>
  <c r="E102" i="27"/>
  <c r="E65" i="30"/>
  <c r="E65" i="29" s="1"/>
  <c r="E64" i="30"/>
  <c r="E64" i="29" s="1"/>
  <c r="E63" i="30"/>
  <c r="E63" i="29" s="1"/>
  <c r="E62" i="30"/>
  <c r="E62" i="29" s="1"/>
  <c r="E61" i="30"/>
  <c r="E61" i="29" s="1"/>
  <c r="E59" i="30"/>
  <c r="E59" i="29" s="1"/>
  <c r="E58" i="30"/>
  <c r="E58" i="29" s="1"/>
  <c r="E57" i="30"/>
  <c r="E57" i="29" s="1"/>
  <c r="E56" i="30"/>
  <c r="E56" i="29" s="1"/>
  <c r="E55" i="30"/>
  <c r="E55" i="29" s="1"/>
  <c r="E54" i="30"/>
  <c r="E54" i="29" s="1"/>
  <c r="E52" i="30"/>
  <c r="E52" i="29" s="1"/>
  <c r="E51" i="30"/>
  <c r="E51" i="29" s="1"/>
  <c r="E50" i="30"/>
  <c r="E50" i="29" s="1"/>
  <c r="E49" i="30"/>
  <c r="E49" i="29" s="1"/>
  <c r="E47" i="30"/>
  <c r="E46" i="30" s="1"/>
  <c r="E43" i="30"/>
  <c r="E43" i="29" s="1"/>
  <c r="E41" i="30"/>
  <c r="E41" i="29" s="1"/>
  <c r="E39" i="30"/>
  <c r="E39" i="29" s="1"/>
  <c r="E38" i="30"/>
  <c r="E38" i="29" s="1"/>
  <c r="E37" i="30"/>
  <c r="E37" i="29" s="1"/>
  <c r="E36" i="30"/>
  <c r="E36" i="29" s="1"/>
  <c r="E35" i="30"/>
  <c r="E35" i="29" s="1"/>
  <c r="E33" i="30"/>
  <c r="E33" i="29" s="1"/>
  <c r="E32" i="30"/>
  <c r="E32" i="29" s="1"/>
  <c r="E31" i="30"/>
  <c r="E31" i="29" s="1"/>
  <c r="E30" i="30"/>
  <c r="E30" i="29" s="1"/>
  <c r="E29" i="30"/>
  <c r="E29" i="29" s="1"/>
  <c r="E28" i="30"/>
  <c r="E27" i="30"/>
  <c r="E27" i="29" s="1"/>
  <c r="E25" i="30"/>
  <c r="E25" i="29" s="1"/>
  <c r="E23" i="30"/>
  <c r="E23" i="29" s="1"/>
  <c r="E22" i="30"/>
  <c r="E22" i="29" s="1"/>
  <c r="E21" i="30"/>
  <c r="E21" i="29" s="1"/>
  <c r="E20" i="30"/>
  <c r="E20" i="29" s="1"/>
  <c r="E19" i="30"/>
  <c r="E19" i="29" s="1"/>
  <c r="E17" i="30"/>
  <c r="E17" i="29" s="1"/>
  <c r="E16" i="30"/>
  <c r="E16" i="29" s="1"/>
  <c r="E15" i="30"/>
  <c r="E13" i="30"/>
  <c r="E13" i="29" s="1"/>
  <c r="E12" i="30"/>
  <c r="E12" i="29" s="1"/>
  <c r="E11" i="30"/>
  <c r="E11" i="29" s="1"/>
  <c r="E10" i="30"/>
  <c r="E10" i="29" s="1"/>
  <c r="E9" i="30"/>
  <c r="E9" i="29" s="1"/>
  <c r="E8" i="30"/>
  <c r="E8" i="29" s="1"/>
  <c r="D65" i="30"/>
  <c r="D65" i="29" s="1"/>
  <c r="D64" i="30"/>
  <c r="D64" i="29" s="1"/>
  <c r="D63" i="30"/>
  <c r="D63" i="29" s="1"/>
  <c r="D62" i="30"/>
  <c r="D62" i="29" s="1"/>
  <c r="D61" i="30"/>
  <c r="D59" i="30"/>
  <c r="D59" i="29" s="1"/>
  <c r="D58" i="30"/>
  <c r="D58" i="29" s="1"/>
  <c r="D57" i="30"/>
  <c r="D57" i="29" s="1"/>
  <c r="D56" i="30"/>
  <c r="D56" i="29" s="1"/>
  <c r="D55" i="30"/>
  <c r="D55" i="29" s="1"/>
  <c r="D54" i="30"/>
  <c r="D54" i="29" s="1"/>
  <c r="D52" i="30"/>
  <c r="D52" i="29" s="1"/>
  <c r="D51" i="30"/>
  <c r="D51" i="29" s="1"/>
  <c r="D50" i="30"/>
  <c r="D49" i="30"/>
  <c r="D49" i="29" s="1"/>
  <c r="D47" i="30"/>
  <c r="D46" i="30" s="1"/>
  <c r="D43" i="30"/>
  <c r="D41" i="30"/>
  <c r="D40" i="30" s="1"/>
  <c r="D39" i="30"/>
  <c r="D39" i="29" s="1"/>
  <c r="D38" i="30"/>
  <c r="D38" i="29" s="1"/>
  <c r="D37" i="30"/>
  <c r="D37" i="29" s="1"/>
  <c r="D36" i="30"/>
  <c r="D35" i="30"/>
  <c r="D35" i="29" s="1"/>
  <c r="D33" i="30"/>
  <c r="D33" i="29" s="1"/>
  <c r="D32" i="30"/>
  <c r="D32" i="29" s="1"/>
  <c r="D31" i="30"/>
  <c r="D31" i="29" s="1"/>
  <c r="D30" i="30"/>
  <c r="D30" i="29" s="1"/>
  <c r="D29" i="30"/>
  <c r="D29" i="29" s="1"/>
  <c r="D28" i="30"/>
  <c r="D28" i="29" s="1"/>
  <c r="D27" i="30"/>
  <c r="D27" i="29" s="1"/>
  <c r="D25" i="30"/>
  <c r="D25" i="29" s="1"/>
  <c r="D23" i="30"/>
  <c r="D23" i="29" s="1"/>
  <c r="D22" i="30"/>
  <c r="D22" i="29" s="1"/>
  <c r="D21" i="30"/>
  <c r="D21" i="29" s="1"/>
  <c r="D20" i="30"/>
  <c r="D20" i="29" s="1"/>
  <c r="D19" i="30"/>
  <c r="D19" i="29" s="1"/>
  <c r="D17" i="30"/>
  <c r="D17" i="29" s="1"/>
  <c r="D16" i="30"/>
  <c r="D16" i="29" s="1"/>
  <c r="D15" i="30"/>
  <c r="D15" i="29" s="1"/>
  <c r="D13" i="30"/>
  <c r="D13" i="29" s="1"/>
  <c r="D12" i="30"/>
  <c r="D12" i="29" s="1"/>
  <c r="D11" i="30"/>
  <c r="D11" i="29" s="1"/>
  <c r="D10" i="30"/>
  <c r="D10" i="29" s="1"/>
  <c r="D9" i="30"/>
  <c r="D9" i="29" s="1"/>
  <c r="D8" i="30"/>
  <c r="D8" i="29" s="1"/>
  <c r="G65" i="82"/>
  <c r="G64" i="82"/>
  <c r="G63" i="82"/>
  <c r="G62" i="82"/>
  <c r="G61" i="82"/>
  <c r="E60" i="82"/>
  <c r="D60" i="82"/>
  <c r="G59" i="82"/>
  <c r="G58" i="82"/>
  <c r="G57" i="82"/>
  <c r="G56" i="82"/>
  <c r="G55" i="82"/>
  <c r="G54" i="82"/>
  <c r="E53" i="82"/>
  <c r="D53" i="82"/>
  <c r="G52" i="82"/>
  <c r="G51" i="82"/>
  <c r="G50" i="82"/>
  <c r="G49" i="82"/>
  <c r="G47" i="82"/>
  <c r="E46" i="82"/>
  <c r="D46" i="82"/>
  <c r="G45" i="82"/>
  <c r="G43" i="82"/>
  <c r="E42" i="82"/>
  <c r="D42" i="82"/>
  <c r="G41" i="82"/>
  <c r="E40" i="82"/>
  <c r="D40" i="82"/>
  <c r="G39" i="82"/>
  <c r="G38" i="82"/>
  <c r="G37" i="82"/>
  <c r="G36" i="82"/>
  <c r="G35" i="82"/>
  <c r="E34" i="82"/>
  <c r="D34" i="82"/>
  <c r="G33" i="82"/>
  <c r="G32" i="82"/>
  <c r="G31" i="82"/>
  <c r="G30" i="82"/>
  <c r="G29" i="82"/>
  <c r="G28" i="82"/>
  <c r="G27" i="82"/>
  <c r="E26" i="82"/>
  <c r="D26" i="82"/>
  <c r="G25" i="82"/>
  <c r="E24" i="82"/>
  <c r="D24" i="82"/>
  <c r="G23" i="82"/>
  <c r="G22" i="82"/>
  <c r="G21" i="82"/>
  <c r="G20" i="82"/>
  <c r="G19" i="82"/>
  <c r="E18" i="82"/>
  <c r="D18" i="82"/>
  <c r="G17" i="82"/>
  <c r="G16" i="82"/>
  <c r="G15" i="82"/>
  <c r="E14" i="82"/>
  <c r="D14" i="82"/>
  <c r="G13" i="82"/>
  <c r="G12" i="82"/>
  <c r="G11" i="82"/>
  <c r="G10" i="82"/>
  <c r="G9" i="82"/>
  <c r="G8" i="82"/>
  <c r="E7" i="82"/>
  <c r="D7" i="82"/>
  <c r="G65" i="81"/>
  <c r="G64" i="81"/>
  <c r="G63" i="81"/>
  <c r="G62" i="81"/>
  <c r="G61" i="81"/>
  <c r="G59" i="81"/>
  <c r="G58" i="81"/>
  <c r="G57" i="81"/>
  <c r="G56" i="81"/>
  <c r="G55" i="81"/>
  <c r="G54" i="81"/>
  <c r="E53" i="81"/>
  <c r="D53" i="81"/>
  <c r="G52" i="81"/>
  <c r="G51" i="81"/>
  <c r="G50" i="81"/>
  <c r="G49" i="81"/>
  <c r="G47" i="81"/>
  <c r="E46" i="81"/>
  <c r="D46" i="81"/>
  <c r="G45" i="81"/>
  <c r="G43" i="81"/>
  <c r="E42" i="81"/>
  <c r="D42" i="81"/>
  <c r="G41" i="81"/>
  <c r="E40" i="81"/>
  <c r="D40" i="81"/>
  <c r="G39" i="81"/>
  <c r="G38" i="81"/>
  <c r="G37" i="81"/>
  <c r="G36" i="81"/>
  <c r="G35" i="81"/>
  <c r="E34" i="81"/>
  <c r="D34" i="81"/>
  <c r="G33" i="81"/>
  <c r="G32" i="81"/>
  <c r="G31" i="81"/>
  <c r="G30" i="81"/>
  <c r="G29" i="81"/>
  <c r="G28" i="81"/>
  <c r="G27" i="81"/>
  <c r="E26" i="81"/>
  <c r="D26" i="81"/>
  <c r="G25" i="81"/>
  <c r="E24" i="81"/>
  <c r="D24" i="81"/>
  <c r="G23" i="81"/>
  <c r="G22" i="81"/>
  <c r="G21" i="81"/>
  <c r="G20" i="81"/>
  <c r="G19" i="81"/>
  <c r="E18" i="81"/>
  <c r="D18" i="81"/>
  <c r="G17" i="81"/>
  <c r="G16" i="81"/>
  <c r="G15" i="81"/>
  <c r="E14" i="81"/>
  <c r="D14" i="81"/>
  <c r="G13" i="81"/>
  <c r="G12" i="81"/>
  <c r="G11" i="81"/>
  <c r="G10" i="81"/>
  <c r="G9" i="81"/>
  <c r="G8" i="81"/>
  <c r="E7" i="81"/>
  <c r="D7" i="81"/>
  <c r="G65" i="80"/>
  <c r="G64" i="80"/>
  <c r="G63" i="80"/>
  <c r="G62" i="80"/>
  <c r="G61" i="80"/>
  <c r="E60" i="80"/>
  <c r="D60" i="80"/>
  <c r="G59" i="80"/>
  <c r="G58" i="80"/>
  <c r="G57" i="80"/>
  <c r="G56" i="80"/>
  <c r="G55" i="80"/>
  <c r="G54" i="80"/>
  <c r="E53" i="80"/>
  <c r="D53" i="80"/>
  <c r="G52" i="80"/>
  <c r="G51" i="80"/>
  <c r="G50" i="80"/>
  <c r="G49" i="80"/>
  <c r="G47" i="80"/>
  <c r="E46" i="80"/>
  <c r="D46" i="80"/>
  <c r="G45" i="80"/>
  <c r="G43" i="80"/>
  <c r="E42" i="80"/>
  <c r="D42" i="80"/>
  <c r="G41" i="80"/>
  <c r="E40" i="80"/>
  <c r="D40" i="80"/>
  <c r="G39" i="80"/>
  <c r="G38" i="80"/>
  <c r="G37" i="80"/>
  <c r="G36" i="80"/>
  <c r="G35" i="80"/>
  <c r="E34" i="80"/>
  <c r="D34" i="80"/>
  <c r="G33" i="80"/>
  <c r="G32" i="80"/>
  <c r="G31" i="80"/>
  <c r="G30" i="80"/>
  <c r="G29" i="80"/>
  <c r="G28" i="80"/>
  <c r="G27" i="80"/>
  <c r="E26" i="80"/>
  <c r="D26" i="80"/>
  <c r="G25" i="80"/>
  <c r="E24" i="80"/>
  <c r="D24" i="80"/>
  <c r="G23" i="80"/>
  <c r="G22" i="80"/>
  <c r="G21" i="80"/>
  <c r="G20" i="80"/>
  <c r="G19" i="80"/>
  <c r="E18" i="80"/>
  <c r="D18" i="80"/>
  <c r="G17" i="80"/>
  <c r="G16" i="80"/>
  <c r="G15" i="80"/>
  <c r="E14" i="80"/>
  <c r="D14" i="80"/>
  <c r="G13" i="80"/>
  <c r="G12" i="80"/>
  <c r="G11" i="80"/>
  <c r="G10" i="80"/>
  <c r="G9" i="80"/>
  <c r="G8" i="80"/>
  <c r="E7" i="80"/>
  <c r="D7" i="80"/>
  <c r="E42" i="78"/>
  <c r="E34" i="78"/>
  <c r="E26" i="78"/>
  <c r="E24" i="78"/>
  <c r="E18" i="78"/>
  <c r="E14" i="78"/>
  <c r="E7" i="78"/>
  <c r="D7" i="78"/>
  <c r="D14" i="78"/>
  <c r="D18" i="78"/>
  <c r="D24" i="78"/>
  <c r="D26" i="78"/>
  <c r="D34" i="78"/>
  <c r="D42" i="78"/>
  <c r="E60" i="78"/>
  <c r="D60" i="78"/>
  <c r="E53" i="78"/>
  <c r="D53" i="78"/>
  <c r="E46" i="78"/>
  <c r="D46" i="78"/>
  <c r="G65" i="78"/>
  <c r="G64" i="78"/>
  <c r="G63" i="78"/>
  <c r="G62" i="78"/>
  <c r="G61" i="78"/>
  <c r="G59" i="78"/>
  <c r="G58" i="78"/>
  <c r="G57" i="78"/>
  <c r="G56" i="78"/>
  <c r="G55" i="78"/>
  <c r="G54" i="78"/>
  <c r="G52" i="78"/>
  <c r="G51" i="78"/>
  <c r="G50" i="78"/>
  <c r="G49" i="78"/>
  <c r="G47" i="78"/>
  <c r="G45" i="78"/>
  <c r="G43" i="78"/>
  <c r="G41" i="78"/>
  <c r="G39" i="78"/>
  <c r="G38" i="78"/>
  <c r="G37" i="78"/>
  <c r="G36" i="78"/>
  <c r="G35" i="78"/>
  <c r="G33" i="78"/>
  <c r="G32" i="78"/>
  <c r="G31" i="78"/>
  <c r="G30" i="78"/>
  <c r="G29" i="78"/>
  <c r="G28" i="78"/>
  <c r="G27" i="78"/>
  <c r="G25" i="78"/>
  <c r="G23" i="78"/>
  <c r="G22" i="78"/>
  <c r="G21" i="78"/>
  <c r="G20" i="78"/>
  <c r="G19" i="78"/>
  <c r="G17" i="78"/>
  <c r="G16" i="78"/>
  <c r="G15" i="78"/>
  <c r="G13" i="78"/>
  <c r="G12" i="78"/>
  <c r="G11" i="78"/>
  <c r="G10" i="78"/>
  <c r="G9" i="78"/>
  <c r="G8" i="78"/>
  <c r="D22" i="77"/>
  <c r="D21" i="77"/>
  <c r="D18" i="77"/>
  <c r="D17" i="77"/>
  <c r="D11" i="77"/>
  <c r="D10" i="77"/>
  <c r="D8" i="77"/>
  <c r="C7" i="77"/>
  <c r="E7" i="77" s="1"/>
  <c r="C8" i="77"/>
  <c r="C9" i="77"/>
  <c r="C10" i="77"/>
  <c r="C11" i="77"/>
  <c r="C12" i="77"/>
  <c r="E12" i="77" s="1"/>
  <c r="C13" i="77"/>
  <c r="E13" i="77" s="1"/>
  <c r="C15" i="77"/>
  <c r="E15" i="77" s="1"/>
  <c r="C16" i="77"/>
  <c r="E16" i="77" s="1"/>
  <c r="C17" i="77"/>
  <c r="C18" i="77"/>
  <c r="C19" i="77"/>
  <c r="E19" i="77" s="1"/>
  <c r="C20" i="77"/>
  <c r="E20" i="77" s="1"/>
  <c r="C21" i="77"/>
  <c r="C22" i="77"/>
  <c r="C23" i="77"/>
  <c r="E23" i="77" s="1"/>
  <c r="C24" i="77"/>
  <c r="E24" i="77" s="1"/>
  <c r="B6" i="77"/>
  <c r="B14" i="77"/>
  <c r="J108" i="76"/>
  <c r="J107" i="76"/>
  <c r="I107" i="76"/>
  <c r="J106" i="76"/>
  <c r="J105" i="76"/>
  <c r="I105" i="76"/>
  <c r="H105" i="76"/>
  <c r="F105" i="76"/>
  <c r="E105" i="76"/>
  <c r="J104" i="76"/>
  <c r="F104" i="76"/>
  <c r="E104" i="76"/>
  <c r="J103" i="76"/>
  <c r="J102" i="76"/>
  <c r="J101" i="76"/>
  <c r="J100" i="76"/>
  <c r="E100" i="76"/>
  <c r="J99" i="76"/>
  <c r="E99" i="76"/>
  <c r="J98" i="76"/>
  <c r="E98" i="76"/>
  <c r="J97" i="76"/>
  <c r="E97" i="76"/>
  <c r="T88" i="76"/>
  <c r="S88" i="76"/>
  <c r="R88" i="76"/>
  <c r="J88" i="76"/>
  <c r="V87" i="76"/>
  <c r="R87" i="76"/>
  <c r="Q87" i="76"/>
  <c r="P87" i="76"/>
  <c r="L87" i="76"/>
  <c r="J87" i="76"/>
  <c r="I87" i="76"/>
  <c r="H87" i="76"/>
  <c r="G87" i="76"/>
  <c r="E87" i="76"/>
  <c r="I86" i="76"/>
  <c r="E86" i="76"/>
  <c r="U85" i="76"/>
  <c r="R85" i="76"/>
  <c r="L85" i="76"/>
  <c r="I85" i="76"/>
  <c r="E85" i="76"/>
  <c r="F84" i="76"/>
  <c r="G84" i="76" s="1"/>
  <c r="H84" i="76" s="1"/>
  <c r="I84" i="76" s="1"/>
  <c r="J84" i="76" s="1"/>
  <c r="K84" i="76" s="1"/>
  <c r="L84" i="76" s="1"/>
  <c r="M84" i="76" s="1"/>
  <c r="N84" i="76" s="1"/>
  <c r="O84" i="76" s="1"/>
  <c r="P84" i="76" s="1"/>
  <c r="Q84" i="76" s="1"/>
  <c r="R84" i="76" s="1"/>
  <c r="S84" i="76" s="1"/>
  <c r="T84" i="76" s="1"/>
  <c r="U84" i="76" s="1"/>
  <c r="V84" i="76" s="1"/>
  <c r="W84" i="76" s="1"/>
  <c r="X84" i="76" s="1"/>
  <c r="L75" i="76"/>
  <c r="K75" i="76"/>
  <c r="L74" i="76"/>
  <c r="M74" i="76" s="1"/>
  <c r="G74" i="76"/>
  <c r="M73" i="76"/>
  <c r="G73" i="76"/>
  <c r="M72" i="76"/>
  <c r="I72" i="76"/>
  <c r="I104" i="76" s="1"/>
  <c r="H72" i="76"/>
  <c r="H104" i="76" s="1"/>
  <c r="G72" i="76"/>
  <c r="F71" i="76"/>
  <c r="E71" i="76"/>
  <c r="E103" i="76" s="1"/>
  <c r="M70" i="76"/>
  <c r="I70" i="76"/>
  <c r="I102" i="76" s="1"/>
  <c r="H70" i="76"/>
  <c r="H102" i="76" s="1"/>
  <c r="G70" i="76"/>
  <c r="M69" i="76"/>
  <c r="I69" i="76"/>
  <c r="I101" i="76" s="1"/>
  <c r="H69" i="76"/>
  <c r="H101" i="76" s="1"/>
  <c r="G69" i="76"/>
  <c r="M68" i="76"/>
  <c r="I68" i="76"/>
  <c r="I100" i="76" s="1"/>
  <c r="H68" i="76"/>
  <c r="H100" i="76" s="1"/>
  <c r="G68" i="76"/>
  <c r="M67" i="76"/>
  <c r="I67" i="76"/>
  <c r="H67" i="76"/>
  <c r="H99" i="76" s="1"/>
  <c r="G67" i="76"/>
  <c r="M66" i="76"/>
  <c r="I66" i="76"/>
  <c r="I98" i="76" s="1"/>
  <c r="H66" i="76"/>
  <c r="H98" i="76" s="1"/>
  <c r="G66" i="76"/>
  <c r="M65" i="76"/>
  <c r="I65" i="76"/>
  <c r="I97" i="76" s="1"/>
  <c r="H65" i="76"/>
  <c r="G65" i="76"/>
  <c r="V58" i="76"/>
  <c r="U58" i="76"/>
  <c r="T58" i="76"/>
  <c r="S58" i="76"/>
  <c r="R58" i="76"/>
  <c r="Q58" i="76"/>
  <c r="P58" i="76"/>
  <c r="O58" i="76"/>
  <c r="N58" i="76"/>
  <c r="M58" i="76"/>
  <c r="L58" i="76"/>
  <c r="K58" i="76"/>
  <c r="J58" i="76"/>
  <c r="I58" i="76"/>
  <c r="H58" i="76"/>
  <c r="G58" i="76"/>
  <c r="F58" i="76"/>
  <c r="E58" i="76"/>
  <c r="X57" i="76"/>
  <c r="W57" i="76"/>
  <c r="X56" i="76"/>
  <c r="W56" i="76"/>
  <c r="X55" i="76"/>
  <c r="W55" i="76"/>
  <c r="X54" i="76"/>
  <c r="W54" i="76"/>
  <c r="X53" i="76"/>
  <c r="W53" i="76"/>
  <c r="F52" i="76"/>
  <c r="G52" i="76"/>
  <c r="H52" i="76" s="1"/>
  <c r="I52" i="76" s="1"/>
  <c r="J52" i="76" s="1"/>
  <c r="K52" i="76" s="1"/>
  <c r="L52" i="76" s="1"/>
  <c r="M52" i="76" s="1"/>
  <c r="N52" i="76" s="1"/>
  <c r="O52" i="76" s="1"/>
  <c r="P52" i="76" s="1"/>
  <c r="Q52" i="76" s="1"/>
  <c r="R52" i="76" s="1"/>
  <c r="S52" i="76" s="1"/>
  <c r="T52" i="76" s="1"/>
  <c r="U52" i="76" s="1"/>
  <c r="V52" i="76" s="1"/>
  <c r="W52" i="76" s="1"/>
  <c r="X52" i="76" s="1"/>
  <c r="H107" i="76"/>
  <c r="F107" i="76"/>
  <c r="E107" i="76"/>
  <c r="I106" i="76"/>
  <c r="H106" i="76"/>
  <c r="G30" i="76"/>
  <c r="G29" i="76"/>
  <c r="G24" i="76"/>
  <c r="F99" i="76"/>
  <c r="G22" i="76"/>
  <c r="F97" i="76"/>
  <c r="V89" i="76"/>
  <c r="U89" i="76"/>
  <c r="T89" i="76"/>
  <c r="S89" i="76"/>
  <c r="R89" i="76"/>
  <c r="Q89" i="76"/>
  <c r="P89" i="76"/>
  <c r="O89" i="76"/>
  <c r="N89" i="76"/>
  <c r="M89" i="76"/>
  <c r="L89" i="76"/>
  <c r="K89" i="76"/>
  <c r="J89" i="76"/>
  <c r="I89" i="76"/>
  <c r="H89" i="76"/>
  <c r="G89" i="76"/>
  <c r="F89" i="76"/>
  <c r="E89" i="76"/>
  <c r="V88" i="76"/>
  <c r="U88" i="76"/>
  <c r="Q88" i="76"/>
  <c r="P88" i="76"/>
  <c r="O88" i="76"/>
  <c r="N88" i="76"/>
  <c r="M88" i="76"/>
  <c r="L88" i="76"/>
  <c r="K88" i="76"/>
  <c r="I88" i="76"/>
  <c r="H88" i="76"/>
  <c r="G88" i="76"/>
  <c r="F88" i="76"/>
  <c r="E88" i="76"/>
  <c r="X12" i="76"/>
  <c r="U87" i="76"/>
  <c r="T87" i="76"/>
  <c r="S87" i="76"/>
  <c r="O87" i="76"/>
  <c r="N87" i="76"/>
  <c r="M87" i="76"/>
  <c r="K87" i="76"/>
  <c r="F87" i="76"/>
  <c r="V86" i="76"/>
  <c r="U86" i="76"/>
  <c r="T86" i="76"/>
  <c r="S86" i="76"/>
  <c r="R86" i="76"/>
  <c r="Q86" i="76"/>
  <c r="P86" i="76"/>
  <c r="O86" i="76"/>
  <c r="N86" i="76"/>
  <c r="M86" i="76"/>
  <c r="L86" i="76"/>
  <c r="K86" i="76"/>
  <c r="J86" i="76"/>
  <c r="H86" i="76"/>
  <c r="W11" i="76"/>
  <c r="F86" i="76"/>
  <c r="V85" i="76"/>
  <c r="S85" i="76"/>
  <c r="Q85" i="76"/>
  <c r="O85" i="76"/>
  <c r="N85" i="76"/>
  <c r="M85" i="76"/>
  <c r="K85" i="76"/>
  <c r="J85" i="76"/>
  <c r="H85" i="76"/>
  <c r="G85" i="76"/>
  <c r="F85" i="76"/>
  <c r="F9" i="76"/>
  <c r="G9" i="76" s="1"/>
  <c r="H9" i="76" s="1"/>
  <c r="I9" i="76" s="1"/>
  <c r="J9" i="76" s="1"/>
  <c r="K9" i="76" s="1"/>
  <c r="L9" i="76" s="1"/>
  <c r="M9" i="76" s="1"/>
  <c r="N9" i="76" s="1"/>
  <c r="O9" i="76" s="1"/>
  <c r="P9" i="76" s="1"/>
  <c r="Q9" i="76" s="1"/>
  <c r="R9" i="76" s="1"/>
  <c r="S9" i="76" s="1"/>
  <c r="T9" i="76" s="1"/>
  <c r="U9" i="76" s="1"/>
  <c r="V9" i="76" s="1"/>
  <c r="W9" i="76" s="1"/>
  <c r="X9" i="76" s="1"/>
  <c r="K15" i="52"/>
  <c r="I10" i="52"/>
  <c r="K10" i="52"/>
  <c r="I9" i="52"/>
  <c r="I7" i="52"/>
  <c r="F7" i="65"/>
  <c r="D26" i="36"/>
  <c r="L26" i="36" s="1"/>
  <c r="L38" i="51"/>
  <c r="N38" i="51" s="1"/>
  <c r="I38" i="51"/>
  <c r="F24" i="65"/>
  <c r="F23" i="65"/>
  <c r="F22" i="65"/>
  <c r="F21" i="65"/>
  <c r="F20" i="65"/>
  <c r="F19" i="65"/>
  <c r="F18" i="65"/>
  <c r="F17" i="65"/>
  <c r="F16" i="65"/>
  <c r="F15" i="65"/>
  <c r="F14" i="65"/>
  <c r="F13" i="65"/>
  <c r="F12" i="65"/>
  <c r="F11" i="65"/>
  <c r="F10" i="65"/>
  <c r="E9" i="65"/>
  <c r="D9" i="65"/>
  <c r="C9" i="65"/>
  <c r="F8" i="65"/>
  <c r="F6" i="65"/>
  <c r="E5" i="65"/>
  <c r="D5" i="65"/>
  <c r="C5" i="65"/>
  <c r="I8" i="52"/>
  <c r="J15" i="52"/>
  <c r="H15" i="52"/>
  <c r="I14" i="52"/>
  <c r="H14" i="52"/>
  <c r="J10" i="52"/>
  <c r="H10" i="52"/>
  <c r="K9" i="52"/>
  <c r="H9" i="52"/>
  <c r="J8" i="52"/>
  <c r="H8" i="52"/>
  <c r="J7" i="52"/>
  <c r="H7" i="52"/>
  <c r="A7" i="52"/>
  <c r="A8" i="52" s="1"/>
  <c r="A9" i="52" s="1"/>
  <c r="A10" i="52" s="1"/>
  <c r="A11" i="52" s="1"/>
  <c r="A14" i="52" s="1"/>
  <c r="A15" i="52" s="1"/>
  <c r="C56" i="51"/>
  <c r="L48" i="51"/>
  <c r="N48" i="51" s="1"/>
  <c r="I48" i="51"/>
  <c r="M48" i="51" s="1"/>
  <c r="L55" i="51"/>
  <c r="N55" i="51" s="1"/>
  <c r="I55" i="51"/>
  <c r="M55" i="51" s="1"/>
  <c r="L53" i="51"/>
  <c r="N53" i="51" s="1"/>
  <c r="I53" i="51"/>
  <c r="M53" i="51" s="1"/>
  <c r="L52" i="51"/>
  <c r="N52" i="51" s="1"/>
  <c r="I52" i="51"/>
  <c r="M52" i="51" s="1"/>
  <c r="L51" i="51"/>
  <c r="N51" i="51" s="1"/>
  <c r="I51" i="51"/>
  <c r="M51" i="51" s="1"/>
  <c r="L50" i="51"/>
  <c r="N50" i="51" s="1"/>
  <c r="I50" i="51"/>
  <c r="M50" i="51" s="1"/>
  <c r="L49" i="51"/>
  <c r="N49" i="51" s="1"/>
  <c r="I49" i="51"/>
  <c r="M49" i="51" s="1"/>
  <c r="L47" i="51"/>
  <c r="N47" i="51" s="1"/>
  <c r="I47" i="51"/>
  <c r="M47" i="51" s="1"/>
  <c r="L46" i="51"/>
  <c r="N46" i="51" s="1"/>
  <c r="I46" i="51"/>
  <c r="M46" i="51" s="1"/>
  <c r="L45" i="51"/>
  <c r="N45" i="51" s="1"/>
  <c r="I45" i="51"/>
  <c r="M45" i="51" s="1"/>
  <c r="L44" i="51"/>
  <c r="N44" i="51" s="1"/>
  <c r="I44" i="51"/>
  <c r="M44" i="51" s="1"/>
  <c r="L43" i="51"/>
  <c r="N43" i="51" s="1"/>
  <c r="L42" i="51"/>
  <c r="N42" i="51" s="1"/>
  <c r="I42" i="51"/>
  <c r="M42" i="51" s="1"/>
  <c r="L41" i="51"/>
  <c r="N41" i="51" s="1"/>
  <c r="I41" i="51"/>
  <c r="M41" i="51" s="1"/>
  <c r="L40" i="51"/>
  <c r="N40" i="51" s="1"/>
  <c r="I40" i="51"/>
  <c r="M40" i="51" s="1"/>
  <c r="L37" i="51"/>
  <c r="N37" i="51" s="1"/>
  <c r="I37" i="51"/>
  <c r="M37" i="51" s="1"/>
  <c r="A37" i="51"/>
  <c r="A38" i="51" s="1"/>
  <c r="A39" i="51" s="1"/>
  <c r="A40" i="51" s="1"/>
  <c r="A41" i="51" s="1"/>
  <c r="A42" i="51" s="1"/>
  <c r="A43" i="51" s="1"/>
  <c r="A44" i="51" s="1"/>
  <c r="A45" i="51" s="1"/>
  <c r="A46" i="51" s="1"/>
  <c r="A47" i="51" s="1"/>
  <c r="A48" i="51" s="1"/>
  <c r="A49" i="51" s="1"/>
  <c r="A50" i="51" s="1"/>
  <c r="A51" i="51" s="1"/>
  <c r="A52" i="51" s="1"/>
  <c r="A53" i="51" s="1"/>
  <c r="L36" i="51"/>
  <c r="N36" i="51" s="1"/>
  <c r="I36" i="51"/>
  <c r="M36" i="51" s="1"/>
  <c r="L17" i="51"/>
  <c r="N17" i="51" s="1"/>
  <c r="I17" i="51"/>
  <c r="M17" i="51" s="1"/>
  <c r="L16" i="51"/>
  <c r="N16" i="51" s="1"/>
  <c r="I16" i="51"/>
  <c r="M16" i="51" s="1"/>
  <c r="L15" i="51"/>
  <c r="N15" i="51" s="1"/>
  <c r="I15" i="51"/>
  <c r="M15" i="51" s="1"/>
  <c r="L14" i="51"/>
  <c r="N14" i="51" s="1"/>
  <c r="I14" i="51"/>
  <c r="M14" i="51" s="1"/>
  <c r="L13" i="51"/>
  <c r="N13" i="51" s="1"/>
  <c r="I13" i="51"/>
  <c r="M13" i="51" s="1"/>
  <c r="I11" i="51"/>
  <c r="M11" i="51" s="1"/>
  <c r="I10" i="51"/>
  <c r="M10" i="51" s="1"/>
  <c r="L9" i="51"/>
  <c r="N9" i="51" s="1"/>
  <c r="I9" i="51"/>
  <c r="M9" i="51" s="1"/>
  <c r="D25" i="36"/>
  <c r="L25" i="36" s="1"/>
  <c r="D24" i="36"/>
  <c r="L24" i="36" s="1"/>
  <c r="D22" i="36"/>
  <c r="L22" i="36" s="1"/>
  <c r="D21" i="36"/>
  <c r="L21" i="36" s="1"/>
  <c r="D20" i="36"/>
  <c r="L20" i="36" s="1"/>
  <c r="D19" i="36"/>
  <c r="L19" i="36" s="1"/>
  <c r="D17" i="36"/>
  <c r="L17" i="36" s="1"/>
  <c r="D16" i="36"/>
  <c r="D15" i="36"/>
  <c r="D14" i="36"/>
  <c r="L14" i="36" s="1"/>
  <c r="D13" i="36"/>
  <c r="D12" i="36"/>
  <c r="L12" i="36" s="1"/>
  <c r="D11" i="36"/>
  <c r="L11" i="36" s="1"/>
  <c r="D10" i="36"/>
  <c r="L10" i="36" s="1"/>
  <c r="D9" i="36"/>
  <c r="D8" i="36"/>
  <c r="D7" i="36"/>
  <c r="L7" i="36" s="1"/>
  <c r="D6" i="36"/>
  <c r="L6" i="36" s="1"/>
  <c r="D5" i="36"/>
  <c r="L5" i="36" s="1"/>
  <c r="D4" i="36"/>
  <c r="D24" i="24"/>
  <c r="K24" i="24" s="1"/>
  <c r="M24" i="24" s="1"/>
  <c r="E134" i="27"/>
  <c r="D134" i="27"/>
  <c r="E110" i="27"/>
  <c r="D110" i="27"/>
  <c r="D102" i="27"/>
  <c r="E100" i="27"/>
  <c r="D100" i="27"/>
  <c r="E95" i="27"/>
  <c r="D95" i="27"/>
  <c r="E91" i="27"/>
  <c r="D91" i="27"/>
  <c r="E85" i="27"/>
  <c r="D85" i="27"/>
  <c r="E77" i="27"/>
  <c r="V93" i="27" s="1"/>
  <c r="D77" i="27"/>
  <c r="E57" i="27"/>
  <c r="D57" i="27"/>
  <c r="E47" i="27"/>
  <c r="D47" i="27"/>
  <c r="E34" i="27"/>
  <c r="D34" i="27"/>
  <c r="E27" i="27"/>
  <c r="D27" i="27"/>
  <c r="E16" i="27"/>
  <c r="M7" i="27" s="1"/>
  <c r="D16" i="27"/>
  <c r="E8" i="27"/>
  <c r="J37" i="27" s="1"/>
  <c r="D8" i="27"/>
  <c r="O36" i="27" s="1"/>
  <c r="E60" i="24"/>
  <c r="D60" i="24"/>
  <c r="E53" i="24"/>
  <c r="F59" i="24" s="1"/>
  <c r="D53" i="24"/>
  <c r="E48" i="24"/>
  <c r="D48" i="24"/>
  <c r="E46" i="24"/>
  <c r="D46" i="24"/>
  <c r="E42" i="24"/>
  <c r="L42" i="24" s="1"/>
  <c r="N42" i="24" s="1"/>
  <c r="D42" i="24"/>
  <c r="E40" i="24"/>
  <c r="D40" i="24"/>
  <c r="K40" i="24" s="1"/>
  <c r="E34" i="24"/>
  <c r="L34" i="24" s="1"/>
  <c r="N34" i="24" s="1"/>
  <c r="D34" i="24"/>
  <c r="E26" i="24"/>
  <c r="D26" i="24"/>
  <c r="K26" i="24" s="1"/>
  <c r="M26" i="24" s="1"/>
  <c r="E24" i="24"/>
  <c r="L24" i="24" s="1"/>
  <c r="N24" i="24" s="1"/>
  <c r="E18" i="24"/>
  <c r="L18" i="24" s="1"/>
  <c r="N18" i="24" s="1"/>
  <c r="D18" i="24"/>
  <c r="K18" i="24" s="1"/>
  <c r="M18" i="24" s="1"/>
  <c r="E14" i="24"/>
  <c r="L14" i="24" s="1"/>
  <c r="D14" i="24"/>
  <c r="K14" i="24" s="1"/>
  <c r="M14" i="24" s="1"/>
  <c r="E7" i="24"/>
  <c r="L7" i="24" s="1"/>
  <c r="N7" i="24" s="1"/>
  <c r="D7" i="24"/>
  <c r="D18" i="36"/>
  <c r="L18" i="36" s="1"/>
  <c r="W10" i="76"/>
  <c r="W12" i="76"/>
  <c r="W13" i="76"/>
  <c r="W14" i="76"/>
  <c r="G15" i="76"/>
  <c r="K15" i="76"/>
  <c r="O15" i="76"/>
  <c r="U15" i="76"/>
  <c r="F98" i="76"/>
  <c r="G23" i="76"/>
  <c r="G27" i="76"/>
  <c r="E102" i="76"/>
  <c r="G31" i="76"/>
  <c r="E106" i="76"/>
  <c r="X10" i="76"/>
  <c r="X13" i="76"/>
  <c r="X14" i="76"/>
  <c r="H15" i="76"/>
  <c r="L15" i="76"/>
  <c r="Q15" i="76"/>
  <c r="V15" i="76"/>
  <c r="G25" i="76"/>
  <c r="F100" i="76"/>
  <c r="F102" i="76"/>
  <c r="F106" i="76"/>
  <c r="T85" i="76"/>
  <c r="T15" i="76"/>
  <c r="E15" i="76"/>
  <c r="I15" i="76"/>
  <c r="M15" i="76"/>
  <c r="R15" i="76"/>
  <c r="G26" i="76"/>
  <c r="E101" i="76"/>
  <c r="P85" i="76"/>
  <c r="P15" i="76"/>
  <c r="G86" i="76"/>
  <c r="F35" i="76"/>
  <c r="X11" i="76"/>
  <c r="F15" i="76"/>
  <c r="J15" i="76"/>
  <c r="N15" i="76"/>
  <c r="S15" i="76"/>
  <c r="F101" i="76"/>
  <c r="F33" i="76"/>
  <c r="G32" i="76"/>
  <c r="G107" i="76" s="1"/>
  <c r="I15" i="52"/>
  <c r="G60" i="81"/>
  <c r="B27" i="36"/>
  <c r="B35" i="36" s="1"/>
  <c r="D23" i="36"/>
  <c r="L23" i="36" s="1"/>
  <c r="C27" i="36"/>
  <c r="C35" i="36" s="1"/>
  <c r="I33" i="76"/>
  <c r="F34" i="76"/>
  <c r="N22" i="101"/>
  <c r="E28" i="89"/>
  <c r="P70" i="36"/>
  <c r="B70" i="36"/>
  <c r="D66" i="36"/>
  <c r="Q66" i="36" s="1"/>
  <c r="Q23" i="89"/>
  <c r="R23" i="89" s="1"/>
  <c r="K23" i="36"/>
  <c r="G28" i="76"/>
  <c r="K30" i="102" l="1"/>
  <c r="G102" i="27"/>
  <c r="H102" i="27" s="1"/>
  <c r="A17" i="89"/>
  <c r="A18" i="89" s="1"/>
  <c r="A19" i="89" s="1"/>
  <c r="A20" i="89" s="1"/>
  <c r="K9" i="101"/>
  <c r="G34" i="80"/>
  <c r="D75" i="36"/>
  <c r="K13" i="101"/>
  <c r="K6" i="101"/>
  <c r="K15" i="101"/>
  <c r="H30" i="102"/>
  <c r="H21" i="98" s="1"/>
  <c r="H40" i="98" s="1"/>
  <c r="J30" i="102"/>
  <c r="A54" i="51"/>
  <c r="A55" i="51" s="1"/>
  <c r="A56" i="51" s="1"/>
  <c r="O30" i="102"/>
  <c r="O68" i="102" s="1"/>
  <c r="K12" i="101"/>
  <c r="G42" i="80"/>
  <c r="K14" i="101"/>
  <c r="G42" i="82"/>
  <c r="S30" i="102"/>
  <c r="S68" i="102" s="1"/>
  <c r="U30" i="102"/>
  <c r="U68" i="102" s="1"/>
  <c r="D85" i="36"/>
  <c r="I39" i="100"/>
  <c r="I30" i="102"/>
  <c r="I21" i="98" s="1"/>
  <c r="Q30" i="102"/>
  <c r="Q68" i="102" s="1"/>
  <c r="D79" i="36"/>
  <c r="D89" i="36"/>
  <c r="K7" i="101"/>
  <c r="K11" i="101"/>
  <c r="T54" i="102"/>
  <c r="T53" i="102" s="1"/>
  <c r="M53" i="102"/>
  <c r="K18" i="102"/>
  <c r="K12" i="98" s="1"/>
  <c r="T57" i="102"/>
  <c r="T56" i="102" s="1"/>
  <c r="M56" i="102"/>
  <c r="G34" i="82"/>
  <c r="K10" i="101"/>
  <c r="K8" i="101"/>
  <c r="E9" i="77"/>
  <c r="G33" i="76"/>
  <c r="M24" i="76"/>
  <c r="M99" i="76" s="1"/>
  <c r="L15" i="36"/>
  <c r="I41" i="36"/>
  <c r="O41" i="36" s="1"/>
  <c r="P41" i="36" s="1"/>
  <c r="I40" i="36"/>
  <c r="O40" i="36" s="1"/>
  <c r="P40" i="36" s="1"/>
  <c r="L4" i="36"/>
  <c r="I39" i="36"/>
  <c r="O39" i="36" s="1"/>
  <c r="P39" i="36" s="1"/>
  <c r="L8" i="36"/>
  <c r="I38" i="36"/>
  <c r="O38" i="36" s="1"/>
  <c r="P38" i="36" s="1"/>
  <c r="D74" i="36"/>
  <c r="D82" i="36"/>
  <c r="D84" i="36"/>
  <c r="D92" i="36"/>
  <c r="D76" i="36"/>
  <c r="D86" i="36"/>
  <c r="D91" i="36"/>
  <c r="L13" i="36"/>
  <c r="G7" i="80"/>
  <c r="E24" i="30"/>
  <c r="E24" i="29" s="1"/>
  <c r="D95" i="36"/>
  <c r="D77" i="36"/>
  <c r="D87" i="36"/>
  <c r="G24" i="24"/>
  <c r="O48" i="24"/>
  <c r="K60" i="24"/>
  <c r="K51" i="24"/>
  <c r="G14" i="78"/>
  <c r="G18" i="82"/>
  <c r="A13" i="100"/>
  <c r="A14" i="100" s="1"/>
  <c r="A15" i="100" s="1"/>
  <c r="A16" i="100" s="1"/>
  <c r="A17" i="100" s="1"/>
  <c r="A18" i="100" s="1"/>
  <c r="A19" i="100" s="1"/>
  <c r="A20" i="100" s="1"/>
  <c r="A21" i="100" s="1"/>
  <c r="I11" i="52"/>
  <c r="I6" i="52" s="1"/>
  <c r="E76" i="76"/>
  <c r="E108" i="76" s="1"/>
  <c r="P48" i="24"/>
  <c r="L90" i="76"/>
  <c r="C25" i="65"/>
  <c r="X86" i="76"/>
  <c r="D78" i="36"/>
  <c r="D88" i="36"/>
  <c r="R90" i="76"/>
  <c r="O46" i="24"/>
  <c r="G23" i="100"/>
  <c r="J25" i="98" s="1"/>
  <c r="E11" i="77"/>
  <c r="Q13" i="89"/>
  <c r="R13" i="89" s="1"/>
  <c r="J51" i="24"/>
  <c r="D83" i="36"/>
  <c r="Q7" i="100"/>
  <c r="L42" i="100"/>
  <c r="H42" i="100"/>
  <c r="K35" i="98" s="1"/>
  <c r="K47" i="98" s="1"/>
  <c r="R43" i="100"/>
  <c r="R42" i="100" s="1"/>
  <c r="I24" i="100"/>
  <c r="F7" i="100"/>
  <c r="I18" i="98" s="1"/>
  <c r="G48" i="81"/>
  <c r="V90" i="76"/>
  <c r="J39" i="100"/>
  <c r="R39" i="100" s="1"/>
  <c r="G42" i="100"/>
  <c r="J35" i="98" s="1"/>
  <c r="E18" i="77"/>
  <c r="O42" i="100"/>
  <c r="L107" i="76"/>
  <c r="N42" i="100"/>
  <c r="D70" i="36"/>
  <c r="Q70" i="36" s="1"/>
  <c r="I90" i="76"/>
  <c r="M26" i="76"/>
  <c r="M101" i="76" s="1"/>
  <c r="F23" i="100"/>
  <c r="I25" i="98" s="1"/>
  <c r="S49" i="102"/>
  <c r="S69" i="102" s="1"/>
  <c r="Q42" i="100"/>
  <c r="J47" i="100"/>
  <c r="I43" i="100"/>
  <c r="I42" i="100" s="1"/>
  <c r="K105" i="76"/>
  <c r="L102" i="76"/>
  <c r="L100" i="76"/>
  <c r="L98" i="76"/>
  <c r="L99" i="76"/>
  <c r="K90" i="76"/>
  <c r="M25" i="76"/>
  <c r="M100" i="76" s="1"/>
  <c r="M22" i="76"/>
  <c r="M97" i="76" s="1"/>
  <c r="L35" i="76"/>
  <c r="G100" i="76"/>
  <c r="M27" i="76"/>
  <c r="M102" i="76" s="1"/>
  <c r="N23" i="100"/>
  <c r="M23" i="100"/>
  <c r="L23" i="100"/>
  <c r="H7" i="100"/>
  <c r="K18" i="98" s="1"/>
  <c r="J34" i="98"/>
  <c r="J42" i="98" s="1"/>
  <c r="W86" i="76"/>
  <c r="S90" i="76"/>
  <c r="W88" i="76"/>
  <c r="G26" i="24"/>
  <c r="G97" i="76"/>
  <c r="G46" i="81"/>
  <c r="L12" i="52"/>
  <c r="J41" i="27"/>
  <c r="E37" i="36"/>
  <c r="E42" i="100"/>
  <c r="H35" i="98" s="1"/>
  <c r="H47" i="98" s="1"/>
  <c r="I10" i="100"/>
  <c r="G101" i="76"/>
  <c r="G90" i="76"/>
  <c r="X58" i="76"/>
  <c r="X89" i="76"/>
  <c r="B26" i="77"/>
  <c r="B27" i="77" s="1"/>
  <c r="G18" i="80"/>
  <c r="M7" i="100"/>
  <c r="P90" i="76"/>
  <c r="G24" i="78"/>
  <c r="G24" i="81"/>
  <c r="D44" i="82"/>
  <c r="G46" i="82"/>
  <c r="K11" i="52"/>
  <c r="R10" i="100"/>
  <c r="R8" i="100" s="1"/>
  <c r="Q23" i="100"/>
  <c r="J16" i="100"/>
  <c r="R16" i="100" s="1"/>
  <c r="R15" i="100" s="1"/>
  <c r="K21" i="98"/>
  <c r="K40" i="98" s="1"/>
  <c r="M23" i="76"/>
  <c r="M98" i="76" s="1"/>
  <c r="M30" i="76"/>
  <c r="M105" i="76" s="1"/>
  <c r="T90" i="76"/>
  <c r="G57" i="27"/>
  <c r="H57" i="27" s="1"/>
  <c r="L9" i="52"/>
  <c r="G105" i="76"/>
  <c r="N90" i="76"/>
  <c r="G106" i="76"/>
  <c r="X87" i="76"/>
  <c r="D6" i="77"/>
  <c r="G26" i="81"/>
  <c r="G60" i="82"/>
  <c r="O7" i="100"/>
  <c r="O23" i="100"/>
  <c r="J22" i="101"/>
  <c r="M32" i="76"/>
  <c r="M107" i="76" s="1"/>
  <c r="K107" i="76"/>
  <c r="E90" i="76"/>
  <c r="F36" i="76"/>
  <c r="L59" i="24"/>
  <c r="M59" i="24" s="1"/>
  <c r="J62" i="24"/>
  <c r="J10" i="100"/>
  <c r="J8" i="100" s="1"/>
  <c r="I22" i="101"/>
  <c r="Q10" i="89"/>
  <c r="R10" i="89" s="1"/>
  <c r="D40" i="36"/>
  <c r="D41" i="36" s="1"/>
  <c r="D25" i="65"/>
  <c r="K28" i="76"/>
  <c r="K99" i="76"/>
  <c r="A18" i="51"/>
  <c r="A19" i="51" s="1"/>
  <c r="A20" i="51" s="1"/>
  <c r="A21" i="51" s="1"/>
  <c r="A22" i="51" s="1"/>
  <c r="A23" i="51" s="1"/>
  <c r="A24" i="51"/>
  <c r="J43" i="100"/>
  <c r="G14" i="24"/>
  <c r="G104" i="76"/>
  <c r="H20" i="27"/>
  <c r="H40" i="27"/>
  <c r="J40" i="27"/>
  <c r="M29" i="76"/>
  <c r="M104" i="76" s="1"/>
  <c r="K104" i="76"/>
  <c r="E32" i="100"/>
  <c r="E23" i="100" s="1"/>
  <c r="H25" i="98" s="1"/>
  <c r="I33" i="100"/>
  <c r="O90" i="76"/>
  <c r="K8" i="52"/>
  <c r="L8" i="52" s="1"/>
  <c r="M90" i="76"/>
  <c r="G98" i="76"/>
  <c r="I71" i="76"/>
  <c r="I103" i="76" s="1"/>
  <c r="E21" i="77"/>
  <c r="G60" i="78"/>
  <c r="G26" i="78"/>
  <c r="G24" i="80"/>
  <c r="G40" i="80"/>
  <c r="G53" i="81"/>
  <c r="G7" i="82"/>
  <c r="E66" i="82"/>
  <c r="G40" i="78"/>
  <c r="I34" i="98"/>
  <c r="I42" i="98" s="1"/>
  <c r="H34" i="98"/>
  <c r="H52" i="98" s="1"/>
  <c r="G35" i="27"/>
  <c r="X88" i="76"/>
  <c r="F90" i="76"/>
  <c r="J90" i="76"/>
  <c r="U90" i="76"/>
  <c r="G99" i="76"/>
  <c r="E44" i="80"/>
  <c r="K30" i="98"/>
  <c r="D93" i="36"/>
  <c r="L28" i="76"/>
  <c r="H90" i="76"/>
  <c r="X85" i="76"/>
  <c r="G48" i="24"/>
  <c r="G134" i="27"/>
  <c r="H134" i="27" s="1"/>
  <c r="W87" i="76"/>
  <c r="W89" i="76"/>
  <c r="G7" i="81"/>
  <c r="G18" i="81"/>
  <c r="G34" i="81"/>
  <c r="D46" i="29"/>
  <c r="H18" i="46"/>
  <c r="H25" i="27"/>
  <c r="K34" i="98"/>
  <c r="K52" i="98" s="1"/>
  <c r="G7" i="100"/>
  <c r="J18" i="98" s="1"/>
  <c r="N7" i="100"/>
  <c r="F42" i="100"/>
  <c r="I35" i="98" s="1"/>
  <c r="M42" i="100"/>
  <c r="H5" i="46"/>
  <c r="G110" i="27"/>
  <c r="H110" i="27" s="1"/>
  <c r="G95" i="27"/>
  <c r="H95" i="27" s="1"/>
  <c r="G47" i="27"/>
  <c r="J48" i="27" s="1"/>
  <c r="D46" i="27"/>
  <c r="D7" i="27"/>
  <c r="L24" i="51"/>
  <c r="N56" i="51"/>
  <c r="G53" i="78"/>
  <c r="E47" i="29"/>
  <c r="E42" i="30"/>
  <c r="E42" i="29" s="1"/>
  <c r="G48" i="80"/>
  <c r="E40" i="30"/>
  <c r="E40" i="29" s="1"/>
  <c r="G26" i="80"/>
  <c r="D44" i="80"/>
  <c r="G14" i="80"/>
  <c r="J27" i="36"/>
  <c r="E60" i="30"/>
  <c r="E60" i="29" s="1"/>
  <c r="E66" i="81"/>
  <c r="E53" i="30"/>
  <c r="E53" i="29" s="1"/>
  <c r="E48" i="30"/>
  <c r="E48" i="29" s="1"/>
  <c r="D66" i="81"/>
  <c r="E44" i="81"/>
  <c r="G40" i="81"/>
  <c r="D34" i="30"/>
  <c r="D34" i="29" s="1"/>
  <c r="D94" i="36"/>
  <c r="G53" i="82"/>
  <c r="G48" i="82"/>
  <c r="D47" i="29"/>
  <c r="G40" i="82"/>
  <c r="D41" i="29"/>
  <c r="D36" i="29"/>
  <c r="D26" i="30"/>
  <c r="D26" i="29" s="1"/>
  <c r="G26" i="82"/>
  <c r="D24" i="30"/>
  <c r="D24" i="29" s="1"/>
  <c r="D18" i="30"/>
  <c r="D18" i="29" s="1"/>
  <c r="D14" i="30"/>
  <c r="D14" i="29" s="1"/>
  <c r="F56" i="24"/>
  <c r="E66" i="24"/>
  <c r="D66" i="24"/>
  <c r="E46" i="29"/>
  <c r="G46" i="24"/>
  <c r="G34" i="24"/>
  <c r="K34" i="24"/>
  <c r="M34" i="24" s="1"/>
  <c r="G18" i="24"/>
  <c r="G7" i="24"/>
  <c r="K7" i="24"/>
  <c r="M7" i="24" s="1"/>
  <c r="E90" i="27"/>
  <c r="E46" i="27"/>
  <c r="E22" i="77"/>
  <c r="E17" i="77"/>
  <c r="H39" i="27"/>
  <c r="E10" i="77"/>
  <c r="E8" i="77"/>
  <c r="N39" i="27"/>
  <c r="P39" i="27" s="1"/>
  <c r="Q39" i="27" s="1"/>
  <c r="C14" i="77"/>
  <c r="G16" i="27"/>
  <c r="H16" i="27" s="1"/>
  <c r="N35" i="27"/>
  <c r="P35" i="27" s="1"/>
  <c r="Q35" i="27" s="1"/>
  <c r="J10" i="27"/>
  <c r="G8" i="27"/>
  <c r="H8" i="27" s="1"/>
  <c r="D80" i="36"/>
  <c r="D90" i="36"/>
  <c r="K27" i="36"/>
  <c r="D96" i="36"/>
  <c r="C97" i="36"/>
  <c r="B97" i="36"/>
  <c r="D27" i="36"/>
  <c r="D35" i="36" s="1"/>
  <c r="P36" i="102"/>
  <c r="Q49" i="102"/>
  <c r="T48" i="102"/>
  <c r="T47" i="102" s="1"/>
  <c r="P48" i="102"/>
  <c r="P47" i="102" s="1"/>
  <c r="P61" i="102"/>
  <c r="P38" i="102"/>
  <c r="P37" i="102" s="1"/>
  <c r="T38" i="102"/>
  <c r="T37" i="102" s="1"/>
  <c r="P33" i="102"/>
  <c r="L47" i="102"/>
  <c r="T33" i="102"/>
  <c r="T31" i="102" s="1"/>
  <c r="P35" i="102"/>
  <c r="L49" i="102"/>
  <c r="L22" i="98" s="1"/>
  <c r="L60" i="102"/>
  <c r="L59" i="102" s="1"/>
  <c r="L28" i="98" s="1"/>
  <c r="L27" i="98" s="1"/>
  <c r="H12" i="98"/>
  <c r="P57" i="102"/>
  <c r="P56" i="102" s="1"/>
  <c r="P67" i="102"/>
  <c r="P66" i="102" s="1"/>
  <c r="P65" i="102" s="1"/>
  <c r="M66" i="102"/>
  <c r="M65" i="102" s="1"/>
  <c r="M29" i="98" s="1"/>
  <c r="I12" i="98"/>
  <c r="I49" i="102"/>
  <c r="I22" i="98" s="1"/>
  <c r="P10" i="102"/>
  <c r="P54" i="102"/>
  <c r="P53" i="102" s="1"/>
  <c r="K49" i="102"/>
  <c r="K22" i="98" s="1"/>
  <c r="M34" i="102"/>
  <c r="P20" i="102"/>
  <c r="P22" i="102"/>
  <c r="M24" i="98"/>
  <c r="L32" i="98"/>
  <c r="L46" i="98" s="1"/>
  <c r="M31" i="98"/>
  <c r="L31" i="98"/>
  <c r="H30" i="98"/>
  <c r="I15" i="98"/>
  <c r="I14" i="98" s="1"/>
  <c r="I51" i="98" s="1"/>
  <c r="M16" i="98"/>
  <c r="I30" i="98"/>
  <c r="L24" i="98"/>
  <c r="M32" i="98"/>
  <c r="L16" i="98"/>
  <c r="L15" i="98"/>
  <c r="H46" i="98"/>
  <c r="J46" i="98"/>
  <c r="H14" i="98"/>
  <c r="H51" i="98" s="1"/>
  <c r="K14" i="98"/>
  <c r="J30" i="98"/>
  <c r="I46" i="98"/>
  <c r="K41" i="98"/>
  <c r="J41" i="98"/>
  <c r="H27" i="98"/>
  <c r="J12" i="98"/>
  <c r="P62" i="102"/>
  <c r="L34" i="102"/>
  <c r="T34" i="102"/>
  <c r="J49" i="102"/>
  <c r="J22" i="98" s="1"/>
  <c r="K27" i="98"/>
  <c r="H41" i="98"/>
  <c r="M31" i="102"/>
  <c r="K6" i="102"/>
  <c r="I6" i="102"/>
  <c r="I11" i="98" s="1"/>
  <c r="P21" i="102"/>
  <c r="L19" i="102"/>
  <c r="L18" i="102" s="1"/>
  <c r="M19" i="102"/>
  <c r="M18" i="102" s="1"/>
  <c r="I27" i="98"/>
  <c r="J27" i="98"/>
  <c r="L7" i="102"/>
  <c r="Z10" i="102" s="1"/>
  <c r="I41" i="98"/>
  <c r="M7" i="102"/>
  <c r="P9" i="102"/>
  <c r="F103" i="76"/>
  <c r="R29" i="100"/>
  <c r="R24" i="100" s="1"/>
  <c r="J24" i="100"/>
  <c r="M17" i="98"/>
  <c r="M24" i="51"/>
  <c r="D99" i="27"/>
  <c r="Q90" i="76"/>
  <c r="G102" i="76"/>
  <c r="L26" i="24"/>
  <c r="N26" i="24" s="1"/>
  <c r="L40" i="24"/>
  <c r="N24" i="51"/>
  <c r="K7" i="52"/>
  <c r="L7" i="52" s="1"/>
  <c r="E15" i="29"/>
  <c r="E14" i="30"/>
  <c r="E14" i="29" s="1"/>
  <c r="E18" i="30"/>
  <c r="E18" i="29" s="1"/>
  <c r="I24" i="51"/>
  <c r="L15" i="52"/>
  <c r="D90" i="27"/>
  <c r="D7" i="30"/>
  <c r="K42" i="24"/>
  <c r="M42" i="24" s="1"/>
  <c r="G42" i="24"/>
  <c r="D44" i="24"/>
  <c r="G60" i="24"/>
  <c r="I73" i="24" s="1"/>
  <c r="E44" i="78"/>
  <c r="G18" i="78"/>
  <c r="G53" i="80"/>
  <c r="G60" i="80"/>
  <c r="D50" i="29"/>
  <c r="D48" i="30"/>
  <c r="D48" i="29" s="1"/>
  <c r="W15" i="76"/>
  <c r="D53" i="30"/>
  <c r="D53" i="29" s="1"/>
  <c r="X15" i="76"/>
  <c r="E44" i="24"/>
  <c r="G77" i="27"/>
  <c r="H77" i="27" s="1"/>
  <c r="V95" i="27"/>
  <c r="J80" i="27"/>
  <c r="E99" i="27"/>
  <c r="G100" i="27"/>
  <c r="L9" i="36"/>
  <c r="L16" i="36"/>
  <c r="L56" i="51"/>
  <c r="W58" i="76"/>
  <c r="W85" i="76"/>
  <c r="H97" i="76"/>
  <c r="H71" i="76"/>
  <c r="I99" i="76"/>
  <c r="F76" i="76"/>
  <c r="F108" i="76" s="1"/>
  <c r="G7" i="78"/>
  <c r="D44" i="78"/>
  <c r="G46" i="80"/>
  <c r="D66" i="80"/>
  <c r="E28" i="29"/>
  <c r="E26" i="30"/>
  <c r="E26" i="29" s="1"/>
  <c r="G48" i="78"/>
  <c r="D66" i="78"/>
  <c r="H11" i="98"/>
  <c r="T8" i="102"/>
  <c r="T7" i="102" s="1"/>
  <c r="T6" i="102" s="1"/>
  <c r="P8" i="102"/>
  <c r="L31" i="102"/>
  <c r="P32" i="102"/>
  <c r="T51" i="102"/>
  <c r="U49" i="102"/>
  <c r="U69" i="102" s="1"/>
  <c r="M31" i="76"/>
  <c r="M106" i="76" s="1"/>
  <c r="K106" i="76"/>
  <c r="L10" i="52"/>
  <c r="G53" i="24"/>
  <c r="G85" i="27"/>
  <c r="H85" i="27" s="1"/>
  <c r="E25" i="65"/>
  <c r="M38" i="51"/>
  <c r="I56" i="51"/>
  <c r="G46" i="78"/>
  <c r="E66" i="78"/>
  <c r="E66" i="80"/>
  <c r="E44" i="82"/>
  <c r="G14" i="82"/>
  <c r="D61" i="29"/>
  <c r="D60" i="30"/>
  <c r="D60" i="29" s="1"/>
  <c r="O49" i="102"/>
  <c r="O69" i="102" s="1"/>
  <c r="E15" i="100"/>
  <c r="E7" i="100" s="1"/>
  <c r="I16" i="100"/>
  <c r="D40" i="29"/>
  <c r="G40" i="24"/>
  <c r="N36" i="27"/>
  <c r="C6" i="77"/>
  <c r="E7" i="27"/>
  <c r="J6" i="52"/>
  <c r="K14" i="52"/>
  <c r="L13" i="52"/>
  <c r="D14" i="77"/>
  <c r="G14" i="81"/>
  <c r="D44" i="81"/>
  <c r="G42" i="81"/>
  <c r="D43" i="29"/>
  <c r="D42" i="30"/>
  <c r="D42" i="29" s="1"/>
  <c r="E7" i="30"/>
  <c r="H13" i="46"/>
  <c r="D81" i="36"/>
  <c r="J17" i="98"/>
  <c r="L17" i="98" s="1"/>
  <c r="P63" i="102"/>
  <c r="T63" i="102"/>
  <c r="M60" i="102"/>
  <c r="M59" i="102" s="1"/>
  <c r="O22" i="101"/>
  <c r="G42" i="78"/>
  <c r="D66" i="82"/>
  <c r="T19" i="102"/>
  <c r="T18" i="102" s="1"/>
  <c r="P64" i="102"/>
  <c r="T64" i="102"/>
  <c r="G71" i="76"/>
  <c r="G103" i="76" s="1"/>
  <c r="G34" i="78"/>
  <c r="G24" i="82"/>
  <c r="E34" i="30"/>
  <c r="E34" i="29" s="1"/>
  <c r="H11" i="52"/>
  <c r="L7" i="100"/>
  <c r="P51" i="102"/>
  <c r="P50" i="102" s="1"/>
  <c r="L106" i="76"/>
  <c r="H49" i="102"/>
  <c r="H32" i="100"/>
  <c r="H23" i="100" s="1"/>
  <c r="J33" i="100"/>
  <c r="K46" i="98"/>
  <c r="A21" i="89" l="1"/>
  <c r="A22" i="89" s="1"/>
  <c r="A23" i="89" s="1"/>
  <c r="A24" i="89" s="1"/>
  <c r="A25" i="89" s="1"/>
  <c r="A26" i="89" s="1"/>
  <c r="A27" i="89" s="1"/>
  <c r="I8" i="100"/>
  <c r="I15" i="100"/>
  <c r="I32" i="100"/>
  <c r="I23" i="100" s="1"/>
  <c r="Q7" i="89"/>
  <c r="R7" i="89" s="1"/>
  <c r="AI7" i="89"/>
  <c r="AJ7" i="89"/>
  <c r="L30" i="102"/>
  <c r="L21" i="98" s="1"/>
  <c r="M30" i="102"/>
  <c r="M21" i="98" s="1"/>
  <c r="M40" i="98" s="1"/>
  <c r="T30" i="102"/>
  <c r="T50" i="102"/>
  <c r="T49" i="102" s="1"/>
  <c r="T69" i="102" s="1"/>
  <c r="K54" i="98"/>
  <c r="K22" i="101"/>
  <c r="A23" i="100"/>
  <c r="A24" i="100" s="1"/>
  <c r="A25" i="100" s="1"/>
  <c r="A26" i="100" s="1"/>
  <c r="Q48" i="24"/>
  <c r="G44" i="80"/>
  <c r="K56" i="98"/>
  <c r="I76" i="76"/>
  <c r="I108" i="76" s="1"/>
  <c r="D88" i="27"/>
  <c r="L30" i="98"/>
  <c r="L26" i="98" s="1"/>
  <c r="M18" i="98"/>
  <c r="I55" i="98"/>
  <c r="N49" i="100"/>
  <c r="I23" i="98"/>
  <c r="K44" i="98"/>
  <c r="J33" i="98"/>
  <c r="J52" i="98"/>
  <c r="J42" i="100"/>
  <c r="Q49" i="100"/>
  <c r="J47" i="98"/>
  <c r="J56" i="98"/>
  <c r="L71" i="76"/>
  <c r="L103" i="76" s="1"/>
  <c r="I45" i="98"/>
  <c r="X90" i="76"/>
  <c r="L49" i="100"/>
  <c r="D26" i="65"/>
  <c r="U70" i="102"/>
  <c r="L35" i="98"/>
  <c r="L47" i="98" s="1"/>
  <c r="O49" i="100"/>
  <c r="K13" i="98"/>
  <c r="G49" i="100"/>
  <c r="R7" i="100"/>
  <c r="F53" i="24"/>
  <c r="P49" i="24"/>
  <c r="M49" i="100"/>
  <c r="I7" i="100"/>
  <c r="J44" i="98"/>
  <c r="H56" i="98"/>
  <c r="J15" i="100"/>
  <c r="J7" i="100" s="1"/>
  <c r="P34" i="102"/>
  <c r="H47" i="27"/>
  <c r="P31" i="102"/>
  <c r="H42" i="98"/>
  <c r="K66" i="24"/>
  <c r="M66" i="24" s="1"/>
  <c r="O49" i="24"/>
  <c r="I75" i="27"/>
  <c r="K6" i="52"/>
  <c r="G90" i="27"/>
  <c r="H90" i="27" s="1"/>
  <c r="L34" i="98"/>
  <c r="L42" i="98" s="1"/>
  <c r="H33" i="98"/>
  <c r="I56" i="98"/>
  <c r="I47" i="98"/>
  <c r="K33" i="98"/>
  <c r="M34" i="98"/>
  <c r="M42" i="98" s="1"/>
  <c r="E68" i="81"/>
  <c r="F25" i="27"/>
  <c r="M15" i="98"/>
  <c r="M14" i="98" s="1"/>
  <c r="I52" i="98"/>
  <c r="F49" i="100"/>
  <c r="L33" i="76"/>
  <c r="L36" i="76" s="1"/>
  <c r="L34" i="76"/>
  <c r="F20" i="27"/>
  <c r="K26" i="98"/>
  <c r="K42" i="98"/>
  <c r="I33" i="98"/>
  <c r="Q69" i="102"/>
  <c r="Q70" i="102" s="1"/>
  <c r="F19" i="27"/>
  <c r="K33" i="76"/>
  <c r="M28" i="76"/>
  <c r="M35" i="98"/>
  <c r="D137" i="27"/>
  <c r="I99" i="27" s="1"/>
  <c r="G46" i="27"/>
  <c r="H46" i="27" s="1"/>
  <c r="J35" i="27"/>
  <c r="G44" i="78"/>
  <c r="L27" i="36"/>
  <c r="E67" i="81"/>
  <c r="G66" i="81"/>
  <c r="E66" i="30"/>
  <c r="G66" i="24"/>
  <c r="F52" i="24"/>
  <c r="N67" i="24"/>
  <c r="L66" i="24"/>
  <c r="N66" i="24" s="1"/>
  <c r="F46" i="24"/>
  <c r="E66" i="29"/>
  <c r="T36" i="27"/>
  <c r="D97" i="36"/>
  <c r="E35" i="36"/>
  <c r="E36" i="36" s="1"/>
  <c r="I20" i="98"/>
  <c r="M49" i="102"/>
  <c r="M22" i="98" s="1"/>
  <c r="P49" i="102"/>
  <c r="H68" i="102"/>
  <c r="S70" i="102"/>
  <c r="I69" i="102"/>
  <c r="I40" i="98"/>
  <c r="I44" i="98"/>
  <c r="I54" i="98"/>
  <c r="K20" i="98"/>
  <c r="O70" i="102"/>
  <c r="K69" i="102"/>
  <c r="K68" i="102"/>
  <c r="P19" i="102"/>
  <c r="P18" i="102" s="1"/>
  <c r="L12" i="98"/>
  <c r="L54" i="98" s="1"/>
  <c r="M12" i="98"/>
  <c r="M30" i="98"/>
  <c r="I13" i="98"/>
  <c r="L41" i="98"/>
  <c r="M46" i="98"/>
  <c r="H26" i="98"/>
  <c r="I26" i="98"/>
  <c r="L14" i="98"/>
  <c r="L51" i="98" s="1"/>
  <c r="K51" i="98"/>
  <c r="J26" i="98"/>
  <c r="I10" i="98"/>
  <c r="I39" i="98"/>
  <c r="I50" i="98"/>
  <c r="J10" i="98"/>
  <c r="P60" i="102"/>
  <c r="P59" i="102" s="1"/>
  <c r="I68" i="102"/>
  <c r="J54" i="98"/>
  <c r="K11" i="98"/>
  <c r="J69" i="102"/>
  <c r="M6" i="102"/>
  <c r="M11" i="98" s="1"/>
  <c r="L6" i="102"/>
  <c r="P7" i="102"/>
  <c r="P6" i="102" s="1"/>
  <c r="R33" i="100"/>
  <c r="R32" i="100" s="1"/>
  <c r="R23" i="100" s="1"/>
  <c r="J32" i="100"/>
  <c r="J23" i="100" s="1"/>
  <c r="E88" i="27"/>
  <c r="G7" i="27"/>
  <c r="H7" i="27" s="1"/>
  <c r="E49" i="100"/>
  <c r="H18" i="98"/>
  <c r="E67" i="80"/>
  <c r="E68" i="80"/>
  <c r="M56" i="51"/>
  <c r="D66" i="29"/>
  <c r="W90" i="76"/>
  <c r="G76" i="76"/>
  <c r="G108" i="76" s="1"/>
  <c r="H23" i="98"/>
  <c r="L25" i="98"/>
  <c r="H6" i="52"/>
  <c r="H16" i="52" s="1"/>
  <c r="L11" i="52"/>
  <c r="D26" i="77"/>
  <c r="D27" i="77" s="1"/>
  <c r="E14" i="77"/>
  <c r="C26" i="77"/>
  <c r="C27" i="77" s="1"/>
  <c r="E6" i="77"/>
  <c r="E67" i="78"/>
  <c r="E68" i="78"/>
  <c r="H76" i="76"/>
  <c r="H108" i="76" s="1"/>
  <c r="K71" i="76"/>
  <c r="H103" i="76"/>
  <c r="E137" i="27"/>
  <c r="G99" i="27"/>
  <c r="H99" i="27" s="1"/>
  <c r="L14" i="52"/>
  <c r="P44" i="24"/>
  <c r="G44" i="24"/>
  <c r="K44" i="24"/>
  <c r="M44" i="24" s="1"/>
  <c r="D67" i="24"/>
  <c r="D7" i="29"/>
  <c r="D44" i="29" s="1"/>
  <c r="D44" i="30"/>
  <c r="K25" i="98"/>
  <c r="H49" i="100"/>
  <c r="H22" i="98"/>
  <c r="H69" i="102"/>
  <c r="D67" i="82"/>
  <c r="D68" i="82"/>
  <c r="G66" i="82"/>
  <c r="M28" i="98"/>
  <c r="E44" i="30"/>
  <c r="E7" i="29"/>
  <c r="E44" i="29" s="1"/>
  <c r="H50" i="98"/>
  <c r="H49" i="98" s="1"/>
  <c r="H39" i="98"/>
  <c r="H10" i="98"/>
  <c r="L44" i="24"/>
  <c r="N44" i="24" s="1"/>
  <c r="E67" i="24"/>
  <c r="J14" i="98"/>
  <c r="J21" i="98"/>
  <c r="J68" i="102"/>
  <c r="T60" i="102"/>
  <c r="T59" i="102" s="1"/>
  <c r="G44" i="81"/>
  <c r="D68" i="81"/>
  <c r="D67" i="81"/>
  <c r="G44" i="82"/>
  <c r="E67" i="82"/>
  <c r="E68" i="82"/>
  <c r="J53" i="24"/>
  <c r="L53" i="24" s="1"/>
  <c r="M53" i="24" s="1"/>
  <c r="J48" i="24"/>
  <c r="L48" i="24" s="1"/>
  <c r="M48" i="24" s="1"/>
  <c r="G66" i="78"/>
  <c r="D67" i="78"/>
  <c r="D68" i="78"/>
  <c r="D68" i="80"/>
  <c r="D67" i="80"/>
  <c r="G66" i="80"/>
  <c r="D66" i="30"/>
  <c r="J55" i="98"/>
  <c r="J23" i="98"/>
  <c r="J45" i="98"/>
  <c r="P30" i="102" l="1"/>
  <c r="P68" i="102" s="1"/>
  <c r="A27" i="100"/>
  <c r="A28" i="100" s="1"/>
  <c r="A29" i="100" s="1"/>
  <c r="A30" i="100" s="1"/>
  <c r="A31" i="100" s="1"/>
  <c r="A32" i="100" s="1"/>
  <c r="A33" i="100" s="1"/>
  <c r="A34" i="100" s="1"/>
  <c r="A35" i="100" s="1"/>
  <c r="A36" i="100" s="1"/>
  <c r="A37" i="100" s="1"/>
  <c r="A38" i="100" s="1"/>
  <c r="A39" i="100" s="1"/>
  <c r="A40" i="100" s="1"/>
  <c r="A41" i="100" s="1"/>
  <c r="A42" i="100" s="1"/>
  <c r="A43" i="100" s="1"/>
  <c r="A44" i="100" s="1"/>
  <c r="A45" i="100" s="1"/>
  <c r="A46" i="100" s="1"/>
  <c r="A47" i="100" s="1"/>
  <c r="A48" i="100" s="1"/>
  <c r="A49" i="100" s="1"/>
  <c r="L76" i="76"/>
  <c r="L108" i="76" s="1"/>
  <c r="D148" i="27"/>
  <c r="I19" i="98"/>
  <c r="I49" i="100"/>
  <c r="M13" i="98"/>
  <c r="L56" i="98"/>
  <c r="L6" i="52"/>
  <c r="L16" i="52" s="1"/>
  <c r="R49" i="100"/>
  <c r="L52" i="98"/>
  <c r="M33" i="76"/>
  <c r="J43" i="98"/>
  <c r="J49" i="100"/>
  <c r="H38" i="98"/>
  <c r="L33" i="98"/>
  <c r="G137" i="27"/>
  <c r="H137" i="27" s="1"/>
  <c r="I43" i="98"/>
  <c r="T68" i="102"/>
  <c r="T70" i="102" s="1"/>
  <c r="H44" i="24"/>
  <c r="W44" i="24"/>
  <c r="X44" i="24" s="1"/>
  <c r="I38" i="98"/>
  <c r="I53" i="98"/>
  <c r="J49" i="24"/>
  <c r="L49" i="24" s="1"/>
  <c r="W66" i="24"/>
  <c r="X66" i="24" s="1"/>
  <c r="M51" i="98"/>
  <c r="I9" i="98"/>
  <c r="M52" i="98"/>
  <c r="M33" i="98"/>
  <c r="M56" i="98"/>
  <c r="M47" i="98"/>
  <c r="I49" i="98"/>
  <c r="P69" i="102"/>
  <c r="O66" i="24"/>
  <c r="E67" i="29"/>
  <c r="J99" i="27"/>
  <c r="E26" i="77"/>
  <c r="E27" i="77" s="1"/>
  <c r="H70" i="102"/>
  <c r="K70" i="102"/>
  <c r="I70" i="102"/>
  <c r="M20" i="98"/>
  <c r="M69" i="102"/>
  <c r="M54" i="98"/>
  <c r="M44" i="98"/>
  <c r="L69" i="102"/>
  <c r="M68" i="102"/>
  <c r="J53" i="98"/>
  <c r="L68" i="102"/>
  <c r="K50" i="98"/>
  <c r="K49" i="98" s="1"/>
  <c r="K10" i="98"/>
  <c r="K9" i="98" s="1"/>
  <c r="K39" i="98"/>
  <c r="K38" i="98" s="1"/>
  <c r="J70" i="102"/>
  <c r="M39" i="98"/>
  <c r="M10" i="98"/>
  <c r="L11" i="98"/>
  <c r="L50" i="98" s="1"/>
  <c r="D68" i="30"/>
  <c r="D67" i="30"/>
  <c r="G68" i="78"/>
  <c r="G71" i="78" s="1"/>
  <c r="D71" i="78"/>
  <c r="L67" i="24"/>
  <c r="E68" i="24"/>
  <c r="L68" i="24" s="1"/>
  <c r="N68" i="24" s="1"/>
  <c r="G67" i="82"/>
  <c r="G70" i="82" s="1"/>
  <c r="D70" i="82"/>
  <c r="L23" i="98"/>
  <c r="L45" i="98"/>
  <c r="D67" i="29"/>
  <c r="D68" i="29"/>
  <c r="E148" i="27"/>
  <c r="G88" i="27"/>
  <c r="H88" i="27" s="1"/>
  <c r="D70" i="78"/>
  <c r="G67" i="78"/>
  <c r="G70" i="78" s="1"/>
  <c r="M27" i="98"/>
  <c r="M26" i="98" s="1"/>
  <c r="M41" i="98"/>
  <c r="M50" i="98"/>
  <c r="H44" i="98"/>
  <c r="L18" i="98"/>
  <c r="H55" i="98"/>
  <c r="H13" i="98"/>
  <c r="H9" i="98" s="1"/>
  <c r="H45" i="98"/>
  <c r="H20" i="98"/>
  <c r="H19" i="98" s="1"/>
  <c r="H54" i="98"/>
  <c r="K23" i="98"/>
  <c r="K19" i="98" s="1"/>
  <c r="K45" i="98"/>
  <c r="K43" i="98" s="1"/>
  <c r="K55" i="98"/>
  <c r="K53" i="98" s="1"/>
  <c r="M25" i="98"/>
  <c r="K76" i="76"/>
  <c r="M71" i="76"/>
  <c r="M103" i="76" s="1"/>
  <c r="K103" i="76"/>
  <c r="L40" i="98"/>
  <c r="L20" i="98"/>
  <c r="E68" i="29"/>
  <c r="D70" i="80"/>
  <c r="G67" i="80"/>
  <c r="G70" i="80" s="1"/>
  <c r="G67" i="81"/>
  <c r="G70" i="81" s="1"/>
  <c r="D70" i="81"/>
  <c r="I74" i="24"/>
  <c r="G68" i="80"/>
  <c r="G71" i="80" s="1"/>
  <c r="D71" i="80"/>
  <c r="G68" i="81"/>
  <c r="G71" i="81" s="1"/>
  <c r="D71" i="81"/>
  <c r="J40" i="98"/>
  <c r="J20" i="98"/>
  <c r="J19" i="98" s="1"/>
  <c r="J50" i="98"/>
  <c r="J51" i="98"/>
  <c r="J13" i="98"/>
  <c r="J9" i="98" s="1"/>
  <c r="J39" i="98"/>
  <c r="E67" i="30"/>
  <c r="E68" i="30"/>
  <c r="D71" i="82"/>
  <c r="G68" i="82"/>
  <c r="G71" i="82" s="1"/>
  <c r="K67" i="24"/>
  <c r="D70" i="24"/>
  <c r="K70" i="24" s="1"/>
  <c r="G67" i="24"/>
  <c r="O67" i="24"/>
  <c r="D68" i="24"/>
  <c r="T28" i="100" l="1"/>
  <c r="T19" i="100"/>
  <c r="T14" i="100"/>
  <c r="T31" i="100"/>
  <c r="T20" i="100"/>
  <c r="T15" i="100"/>
  <c r="T36" i="100"/>
  <c r="T26" i="100"/>
  <c r="T23" i="100"/>
  <c r="T18" i="100"/>
  <c r="T27" i="100"/>
  <c r="T35" i="100"/>
  <c r="T12" i="100"/>
  <c r="T29" i="100"/>
  <c r="T13" i="100"/>
  <c r="T21" i="100"/>
  <c r="T30" i="100"/>
  <c r="T10" i="100"/>
  <c r="T22" i="100"/>
  <c r="T11" i="100"/>
  <c r="T34" i="100"/>
  <c r="T17" i="100"/>
  <c r="T25" i="100"/>
  <c r="T32" i="100"/>
  <c r="T9" i="100"/>
  <c r="T8" i="100"/>
  <c r="T16" i="100"/>
  <c r="T33" i="100"/>
  <c r="T24" i="100"/>
  <c r="I8" i="98"/>
  <c r="I7" i="98" s="1"/>
  <c r="L49" i="98"/>
  <c r="M9" i="98"/>
  <c r="P70" i="102"/>
  <c r="I37" i="98"/>
  <c r="H53" i="98"/>
  <c r="H48" i="98" s="1"/>
  <c r="L19" i="98"/>
  <c r="Q49" i="24"/>
  <c r="D80" i="29"/>
  <c r="I48" i="98"/>
  <c r="M49" i="98"/>
  <c r="E81" i="29"/>
  <c r="E80" i="29"/>
  <c r="D81" i="29"/>
  <c r="D70" i="29"/>
  <c r="L70" i="102"/>
  <c r="M70" i="102"/>
  <c r="K8" i="98"/>
  <c r="K7" i="98" s="1"/>
  <c r="H8" i="98"/>
  <c r="H7" i="98" s="1"/>
  <c r="J49" i="98"/>
  <c r="J48" i="98" s="1"/>
  <c r="K48" i="98"/>
  <c r="K37" i="98"/>
  <c r="M38" i="98"/>
  <c r="J38" i="98"/>
  <c r="J37" i="98" s="1"/>
  <c r="L10" i="98"/>
  <c r="L39" i="98"/>
  <c r="L38" i="98" s="1"/>
  <c r="M76" i="76"/>
  <c r="M108" i="76" s="1"/>
  <c r="K108" i="76"/>
  <c r="H43" i="98"/>
  <c r="H37" i="98" s="1"/>
  <c r="J8" i="98"/>
  <c r="J7" i="98" s="1"/>
  <c r="M23" i="98"/>
  <c r="M19" i="98" s="1"/>
  <c r="M45" i="98"/>
  <c r="M43" i="98" s="1"/>
  <c r="M55" i="98"/>
  <c r="M53" i="98" s="1"/>
  <c r="D70" i="30"/>
  <c r="G68" i="24"/>
  <c r="D71" i="24"/>
  <c r="K68" i="24"/>
  <c r="L55" i="98"/>
  <c r="L53" i="98" s="1"/>
  <c r="L44" i="98"/>
  <c r="L43" i="98" s="1"/>
  <c r="L13" i="98"/>
  <c r="D71" i="29"/>
  <c r="D71" i="30"/>
  <c r="L48" i="98" l="1"/>
  <c r="F80" i="29"/>
  <c r="G80" i="29" s="1"/>
  <c r="M8" i="98"/>
  <c r="M7" i="98" s="1"/>
  <c r="M48" i="98"/>
  <c r="F81" i="29"/>
  <c r="G81" i="29" s="1"/>
  <c r="D79" i="29"/>
  <c r="M37" i="98"/>
  <c r="L9" i="98"/>
  <c r="L37" i="98"/>
  <c r="K71" i="24"/>
  <c r="G147" i="27"/>
  <c r="E80" i="24"/>
  <c r="G79" i="24"/>
  <c r="L8" i="98" l="1"/>
  <c r="L7" i="98" s="1"/>
  <c r="P9" i="98" s="1"/>
  <c r="P33" i="98" l="1"/>
  <c r="P19" i="9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Hochmann Libor</author>
  </authors>
  <commentList>
    <comment ref="K61" authorId="0" shapeId="0" xr:uid="{00000000-0006-0000-0200-000001000000}">
      <text>
        <r>
          <rPr>
            <sz val="9"/>
            <color indexed="81"/>
            <rFont val="Tahoma"/>
            <family val="2"/>
            <charset val="238"/>
          </rPr>
          <t xml:space="preserve">z Předvahy 2022 (ale součet 549 1409 a 649 1409 není nula, odsouhlasila Petra W.)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Univerzita Karlova v Praze</author>
    <author>Hochmann Libor</author>
  </authors>
  <commentList>
    <comment ref="A23" authorId="0" shapeId="0" xr:uid="{00000000-0006-0000-0900-000001000000}">
      <text>
        <r>
          <rPr>
            <sz val="9"/>
            <color indexed="81"/>
            <rFont val="Tahoma"/>
            <family val="2"/>
            <charset val="238"/>
          </rPr>
          <t xml:space="preserve">a) vč. stř. 99,
b) u DČ v závorce vč. </t>
        </r>
        <r>
          <rPr>
            <b/>
            <sz val="9"/>
            <color indexed="81"/>
            <rFont val="Tahoma"/>
            <family val="2"/>
            <charset val="238"/>
          </rPr>
          <t xml:space="preserve">manuální </t>
        </r>
        <r>
          <rPr>
            <sz val="9"/>
            <color indexed="81"/>
            <rFont val="Tahoma"/>
            <family val="2"/>
            <charset val="238"/>
          </rPr>
          <t xml:space="preserve">korekce na podepsaný HV po zdanění, </t>
        </r>
        <r>
          <rPr>
            <b/>
            <sz val="9"/>
            <color indexed="81"/>
            <rFont val="Tahoma"/>
            <family val="2"/>
            <charset val="238"/>
          </rPr>
          <t xml:space="preserve">bez </t>
        </r>
        <r>
          <rPr>
            <sz val="9"/>
            <color indexed="81"/>
            <rFont val="Tahoma"/>
            <family val="2"/>
            <charset val="238"/>
          </rPr>
          <t xml:space="preserve">VP a v </t>
        </r>
        <r>
          <rPr>
            <b/>
            <sz val="9"/>
            <color indexed="81"/>
            <rFont val="Tahoma"/>
            <family val="2"/>
            <charset val="238"/>
          </rPr>
          <t>celých</t>
        </r>
        <r>
          <rPr>
            <sz val="9"/>
            <color indexed="81"/>
            <rFont val="Tahoma"/>
            <family val="2"/>
            <charset val="238"/>
          </rPr>
          <t xml:space="preserve"> tis. Kč (nutné)</t>
        </r>
      </text>
    </comment>
    <comment ref="F25" authorId="1" shapeId="0" xr:uid="{94EA6ED4-FF4F-4995-B68A-6934B1C833A4}">
      <text>
        <r>
          <rPr>
            <sz val="9"/>
            <color indexed="81"/>
            <rFont val="Tahoma"/>
            <family val="2"/>
            <charset val="238"/>
          </rPr>
          <t xml:space="preserve">vč. rekonciliace CK
</t>
        </r>
      </text>
    </comment>
    <comment ref="G25" authorId="1" shapeId="0" xr:uid="{41D4A89C-A43E-44B1-ADDA-0BABEE49A5C3}">
      <text>
        <r>
          <rPr>
            <sz val="9"/>
            <color indexed="81"/>
            <rFont val="Tahoma"/>
            <family val="2"/>
            <charset val="238"/>
          </rPr>
          <t xml:space="preserve">vč. rekonciliace CK
</t>
        </r>
      </text>
    </comment>
    <comment ref="H25" authorId="1" shapeId="0" xr:uid="{A98C070D-0C6C-4B08-9DE7-112E231643BD}">
      <text>
        <r>
          <rPr>
            <sz val="9"/>
            <color indexed="81"/>
            <rFont val="Tahoma"/>
            <family val="2"/>
            <charset val="238"/>
          </rPr>
          <t xml:space="preserve">vč. rekonciliace CK
</t>
        </r>
      </text>
    </comment>
    <comment ref="E35" authorId="0" shapeId="0" xr:uid="{00000000-0006-0000-0900-000002000000}">
      <text>
        <r>
          <rPr>
            <b/>
            <sz val="9"/>
            <color indexed="81"/>
            <rFont val="Tahoma"/>
            <family val="2"/>
            <charset val="238"/>
          </rPr>
          <t xml:space="preserve">LH:
</t>
        </r>
        <r>
          <rPr>
            <sz val="9"/>
            <color indexed="81"/>
            <rFont val="Tahoma"/>
            <family val="2"/>
            <charset val="238"/>
          </rPr>
          <t>a)</t>
        </r>
        <r>
          <rPr>
            <b/>
            <sz val="9"/>
            <color indexed="81"/>
            <rFont val="Tahoma"/>
            <family val="2"/>
            <charset val="238"/>
          </rPr>
          <t xml:space="preserve"> </t>
        </r>
        <r>
          <rPr>
            <sz val="9"/>
            <color indexed="81"/>
            <rFont val="Tahoma"/>
            <family val="2"/>
            <charset val="238"/>
          </rPr>
          <t>děleno dvěma, protože k fakultám přičítám i součet  za UK...
B) v 2024 nutná manuální korekce u RUK v DČ v závorce v tab.3 (blíže komentář v buňce A23)4</t>
        </r>
      </text>
    </comment>
    <comment ref="B39" authorId="0" shapeId="0" xr:uid="{00000000-0006-0000-0900-000003000000}">
      <text>
        <r>
          <rPr>
            <b/>
            <sz val="9"/>
            <color indexed="81"/>
            <rFont val="Tahoma"/>
            <family val="2"/>
            <charset val="238"/>
          </rPr>
          <t xml:space="preserve">LH:
</t>
        </r>
        <r>
          <rPr>
            <sz val="9"/>
            <color indexed="81"/>
            <rFont val="Tahoma"/>
            <family val="2"/>
            <charset val="238"/>
          </rPr>
          <t xml:space="preserve">první závorka obsahuje MANUÁLNÍ "dopočet" k HV (dle dohody u "41"), aby vyšel HV z podepsaných výkazů s razítkem za UK (od hlavní účetní)
</t>
        </r>
      </text>
    </comment>
    <comment ref="C39" authorId="0" shapeId="0" xr:uid="{00000000-0006-0000-0900-000004000000}">
      <text>
        <r>
          <rPr>
            <b/>
            <sz val="9"/>
            <color indexed="81"/>
            <rFont val="Tahoma"/>
            <family val="2"/>
            <charset val="238"/>
          </rPr>
          <t xml:space="preserve">LH:
</t>
        </r>
        <r>
          <rPr>
            <sz val="9"/>
            <color indexed="81"/>
            <rFont val="Tahoma"/>
            <family val="2"/>
            <charset val="238"/>
          </rPr>
          <t xml:space="preserve">první závorka obsahuje MANUÁLNÍ "dopočet" k HV (dle dohody u "41"), aby vyšel HV z podepsaných výkazů s razítkem za UK (od hlavní účetní)
</t>
        </r>
      </text>
    </comment>
    <comment ref="A66" authorId="0" shapeId="0" xr:uid="{00000000-0006-0000-0900-000005000000}">
      <text>
        <r>
          <rPr>
            <sz val="9"/>
            <color indexed="81"/>
            <rFont val="Tahoma"/>
            <family val="2"/>
            <charset val="238"/>
          </rPr>
          <t>vč. stř. 99, tj. přičti ho !</t>
        </r>
      </text>
    </comment>
    <comment ref="C66" authorId="1" shapeId="0" xr:uid="{40EEFFBD-C488-42BA-B7D1-DC7D91DDB10D}">
      <text>
        <r>
          <rPr>
            <sz val="9"/>
            <color indexed="81"/>
            <rFont val="Tahoma"/>
            <family val="2"/>
            <charset val="238"/>
          </rPr>
          <t xml:space="preserve">nutná manuální korekce příčtenou částkou až PO NALADĚNÍ u fakult, protože tato data jsou vč. des.míst a vč.VP, ale podepsané výkazy jsou v tis. Kč a bez VP !, aby ladila kontrola na ř. 35 excelu...
</t>
        </r>
      </text>
    </comment>
    <comment ref="A93" authorId="0" shapeId="0" xr:uid="{00000000-0006-0000-0900-000006000000}">
      <text>
        <r>
          <rPr>
            <sz val="9"/>
            <color indexed="81"/>
            <rFont val="Tahoma"/>
            <family val="2"/>
            <charset val="238"/>
          </rPr>
          <t>vč. stř. 99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PŠ</author>
  </authors>
  <commentList>
    <comment ref="E6" authorId="0" shapeId="0" xr:uid="{00000000-0006-0000-1100-000001000000}">
      <text>
        <r>
          <rPr>
            <b/>
            <sz val="9"/>
            <color indexed="81"/>
            <rFont val="Tahoma"/>
            <family val="2"/>
            <charset val="238"/>
          </rPr>
          <t>PŠ:</t>
        </r>
        <r>
          <rPr>
            <sz val="9"/>
            <color indexed="81"/>
            <rFont val="Tahoma"/>
            <family val="2"/>
            <charset val="238"/>
          </rPr>
          <t xml:space="preserve">
Škol ř. 0307.</t>
        </r>
      </text>
    </comment>
    <comment ref="I6" authorId="0" shapeId="0" xr:uid="{00000000-0006-0000-1100-000002000000}">
      <text>
        <r>
          <rPr>
            <b/>
            <sz val="9"/>
            <color indexed="81"/>
            <rFont val="Tahoma"/>
            <family val="2"/>
            <charset val="238"/>
          </rPr>
          <t>PŠ:</t>
        </r>
        <r>
          <rPr>
            <sz val="9"/>
            <color indexed="81"/>
            <rFont val="Tahoma"/>
            <family val="2"/>
            <charset val="238"/>
          </rPr>
          <t xml:space="preserve">
Škol ř. 0306.</t>
        </r>
      </text>
    </comment>
    <comment ref="M6" authorId="0" shapeId="0" xr:uid="{00000000-0006-0000-1100-000003000000}">
      <text>
        <r>
          <rPr>
            <b/>
            <sz val="9"/>
            <color indexed="81"/>
            <rFont val="Tahoma"/>
            <family val="2"/>
            <charset val="238"/>
          </rPr>
          <t>PŠ:</t>
        </r>
        <r>
          <rPr>
            <sz val="9"/>
            <color indexed="81"/>
            <rFont val="Tahoma"/>
            <family val="2"/>
            <charset val="238"/>
          </rPr>
          <t xml:space="preserve">
Škol ř. 0309b.</t>
        </r>
      </text>
    </comment>
    <comment ref="W10" authorId="0" shapeId="0" xr:uid="{00000000-0006-0000-1100-000004000000}">
      <text>
        <r>
          <rPr>
            <b/>
            <sz val="9"/>
            <color indexed="81"/>
            <rFont val="Tahoma"/>
            <family val="2"/>
            <charset val="238"/>
          </rPr>
          <t>PŠ:</t>
        </r>
        <r>
          <rPr>
            <sz val="9"/>
            <color indexed="81"/>
            <rFont val="Tahoma"/>
            <family val="2"/>
            <charset val="238"/>
          </rPr>
          <t xml:space="preserve">
Škol sl. 12 ř. 0200.</t>
        </r>
      </text>
    </comment>
    <comment ref="W11" authorId="0" shapeId="0" xr:uid="{00000000-0006-0000-1100-000005000000}">
      <text>
        <r>
          <rPr>
            <b/>
            <sz val="9"/>
            <color indexed="81"/>
            <rFont val="Tahoma"/>
            <family val="2"/>
            <charset val="238"/>
          </rPr>
          <t>PŠ:</t>
        </r>
        <r>
          <rPr>
            <sz val="9"/>
            <color indexed="81"/>
            <rFont val="Tahoma"/>
            <family val="2"/>
            <charset val="238"/>
          </rPr>
          <t xml:space="preserve">
Škol sl. 12 ř. 0207.</t>
        </r>
      </text>
    </comment>
    <comment ref="G15" authorId="0" shapeId="0" xr:uid="{00000000-0006-0000-1100-000006000000}">
      <text>
        <r>
          <rPr>
            <b/>
            <sz val="9"/>
            <color indexed="81"/>
            <rFont val="Tahoma"/>
            <family val="2"/>
            <charset val="238"/>
          </rPr>
          <t>PŠ:</t>
        </r>
        <r>
          <rPr>
            <sz val="9"/>
            <color indexed="81"/>
            <rFont val="Tahoma"/>
            <family val="2"/>
            <charset val="238"/>
          </rPr>
          <t xml:space="preserve">
Škol sl. 12 ř. 0305.</t>
        </r>
      </text>
    </comment>
    <comment ref="H15" authorId="0" shapeId="0" xr:uid="{00000000-0006-0000-1100-000007000000}">
      <text>
        <r>
          <rPr>
            <b/>
            <sz val="9"/>
            <color indexed="81"/>
            <rFont val="Tahoma"/>
            <family val="2"/>
            <charset val="238"/>
          </rPr>
          <t>PŠ:</t>
        </r>
        <r>
          <rPr>
            <sz val="9"/>
            <color indexed="81"/>
            <rFont val="Tahoma"/>
            <family val="2"/>
            <charset val="238"/>
          </rPr>
          <t xml:space="preserve">
Škol sl. 17 ř. 0305.</t>
        </r>
      </text>
    </comment>
    <comment ref="Q15" authorId="0" shapeId="0" xr:uid="{00000000-0006-0000-1100-000008000000}">
      <text>
        <r>
          <rPr>
            <b/>
            <sz val="9"/>
            <color indexed="81"/>
            <rFont val="Tahoma"/>
            <family val="2"/>
            <charset val="238"/>
          </rPr>
          <t>PŠ:</t>
        </r>
        <r>
          <rPr>
            <sz val="9"/>
            <color indexed="81"/>
            <rFont val="Tahoma"/>
            <family val="2"/>
            <charset val="238"/>
          </rPr>
          <t xml:space="preserve">
Škol sl. 12 ř. 0310.</t>
        </r>
      </text>
    </comment>
    <comment ref="R15" authorId="0" shapeId="0" xr:uid="{00000000-0006-0000-1100-000009000000}">
      <text>
        <r>
          <rPr>
            <b/>
            <sz val="9"/>
            <color indexed="81"/>
            <rFont val="Tahoma"/>
            <family val="2"/>
            <charset val="238"/>
          </rPr>
          <t>PŠ:</t>
        </r>
        <r>
          <rPr>
            <sz val="9"/>
            <color indexed="81"/>
            <rFont val="Tahoma"/>
            <family val="2"/>
            <charset val="238"/>
          </rPr>
          <t xml:space="preserve">
Škol sl. 17 ř. 0310.</t>
        </r>
      </text>
    </comment>
    <comment ref="S15" authorId="0" shapeId="0" xr:uid="{00000000-0006-0000-1100-00000A000000}">
      <text>
        <r>
          <rPr>
            <b/>
            <sz val="9"/>
            <color indexed="81"/>
            <rFont val="Tahoma"/>
            <family val="2"/>
            <charset val="238"/>
          </rPr>
          <t>PŠ:</t>
        </r>
        <r>
          <rPr>
            <sz val="9"/>
            <color indexed="81"/>
            <rFont val="Tahoma"/>
            <family val="2"/>
            <charset val="238"/>
          </rPr>
          <t xml:space="preserve">
Škol sl. 12 ř. 0308.</t>
        </r>
      </text>
    </comment>
    <comment ref="T15" authorId="0" shapeId="0" xr:uid="{00000000-0006-0000-1100-00000B000000}">
      <text>
        <r>
          <rPr>
            <b/>
            <sz val="9"/>
            <color indexed="81"/>
            <rFont val="Tahoma"/>
            <family val="2"/>
            <charset val="238"/>
          </rPr>
          <t>PŠ:</t>
        </r>
        <r>
          <rPr>
            <sz val="9"/>
            <color indexed="81"/>
            <rFont val="Tahoma"/>
            <family val="2"/>
            <charset val="238"/>
          </rPr>
          <t xml:space="preserve">
Škol sl. 17 ř. 0308.</t>
        </r>
      </text>
    </comment>
    <comment ref="U15" authorId="0" shapeId="0" xr:uid="{00000000-0006-0000-1100-00000C000000}">
      <text>
        <r>
          <rPr>
            <b/>
            <sz val="9"/>
            <color indexed="81"/>
            <rFont val="Tahoma"/>
            <family val="2"/>
            <charset val="238"/>
          </rPr>
          <t>PŠ:</t>
        </r>
        <r>
          <rPr>
            <sz val="9"/>
            <color indexed="81"/>
            <rFont val="Tahoma"/>
            <family val="2"/>
            <charset val="238"/>
          </rPr>
          <t xml:space="preserve">
Škol sl. 12 ř. 0309.</t>
        </r>
      </text>
    </comment>
    <comment ref="V15" authorId="0" shapeId="0" xr:uid="{00000000-0006-0000-1100-00000D000000}">
      <text>
        <r>
          <rPr>
            <b/>
            <sz val="9"/>
            <color indexed="81"/>
            <rFont val="Tahoma"/>
            <family val="2"/>
            <charset val="238"/>
          </rPr>
          <t>PŠ:</t>
        </r>
        <r>
          <rPr>
            <sz val="9"/>
            <color indexed="81"/>
            <rFont val="Tahoma"/>
            <family val="2"/>
            <charset val="238"/>
          </rPr>
          <t xml:space="preserve">
Škol sl. 17 ř. 0309.</t>
        </r>
      </text>
    </comment>
    <comment ref="W15" authorId="0" shapeId="0" xr:uid="{00000000-0006-0000-1100-00000E000000}">
      <text>
        <r>
          <rPr>
            <b/>
            <sz val="9"/>
            <color indexed="81"/>
            <rFont val="Tahoma"/>
            <family val="2"/>
            <charset val="238"/>
          </rPr>
          <t>PŠ:</t>
        </r>
        <r>
          <rPr>
            <sz val="9"/>
            <color indexed="81"/>
            <rFont val="Tahoma"/>
            <family val="2"/>
            <charset val="238"/>
          </rPr>
          <t xml:space="preserve">
Škol sl. 12 ř. 0311.</t>
        </r>
      </text>
    </comment>
    <comment ref="X15" authorId="0" shapeId="0" xr:uid="{00000000-0006-0000-1100-00000F000000}">
      <text>
        <r>
          <rPr>
            <b/>
            <sz val="9"/>
            <color indexed="81"/>
            <rFont val="Tahoma"/>
            <family val="2"/>
            <charset val="238"/>
          </rPr>
          <t>PŠ:</t>
        </r>
        <r>
          <rPr>
            <sz val="9"/>
            <color indexed="81"/>
            <rFont val="Tahoma"/>
            <family val="2"/>
            <charset val="238"/>
          </rPr>
          <t xml:space="preserve">
Škol sl. 17 ř. 0311.</t>
        </r>
      </text>
    </comment>
    <comment ref="E22" authorId="0" shapeId="0" xr:uid="{00000000-0006-0000-1100-000010000000}">
      <text>
        <r>
          <rPr>
            <b/>
            <sz val="9"/>
            <color indexed="81"/>
            <rFont val="Tahoma"/>
            <family val="2"/>
            <charset val="238"/>
          </rPr>
          <t>PŠ:</t>
        </r>
        <r>
          <rPr>
            <sz val="9"/>
            <color indexed="81"/>
            <rFont val="Tahoma"/>
            <family val="2"/>
            <charset val="238"/>
          </rPr>
          <t xml:space="preserve">
Škol sl. 2b ř. 0202.</t>
        </r>
      </text>
    </comment>
    <comment ref="F22" authorId="0" shapeId="0" xr:uid="{00000000-0006-0000-1100-000011000000}">
      <text>
        <r>
          <rPr>
            <b/>
            <sz val="9"/>
            <color indexed="81"/>
            <rFont val="Tahoma"/>
            <family val="2"/>
            <charset val="238"/>
          </rPr>
          <t>PŠ:</t>
        </r>
        <r>
          <rPr>
            <sz val="9"/>
            <color indexed="81"/>
            <rFont val="Tahoma"/>
            <family val="2"/>
            <charset val="238"/>
          </rPr>
          <t xml:space="preserve">
Škol sl. 12b ř. 0202.</t>
        </r>
      </text>
    </comment>
    <comment ref="K22" authorId="0" shapeId="0" xr:uid="{00000000-0006-0000-1100-000012000000}">
      <text>
        <r>
          <rPr>
            <b/>
            <sz val="9"/>
            <color indexed="81"/>
            <rFont val="Tahoma"/>
            <family val="2"/>
            <charset val="238"/>
          </rPr>
          <t>PŠ:</t>
        </r>
        <r>
          <rPr>
            <sz val="9"/>
            <color indexed="81"/>
            <rFont val="Tahoma"/>
            <family val="2"/>
            <charset val="238"/>
          </rPr>
          <t xml:space="preserve">
Škol sl. 2 ř. 0202.</t>
        </r>
      </text>
    </comment>
    <comment ref="L22" authorId="0" shapeId="0" xr:uid="{00000000-0006-0000-1100-000013000000}">
      <text>
        <r>
          <rPr>
            <b/>
            <sz val="9"/>
            <color indexed="81"/>
            <rFont val="Tahoma"/>
            <family val="2"/>
            <charset val="238"/>
          </rPr>
          <t>PŠ:</t>
        </r>
        <r>
          <rPr>
            <sz val="9"/>
            <color indexed="81"/>
            <rFont val="Tahoma"/>
            <family val="2"/>
            <charset val="238"/>
          </rPr>
          <t xml:space="preserve">
Škol sl. 12 ř. 0202.</t>
        </r>
      </text>
    </comment>
    <comment ref="E23" authorId="0" shapeId="0" xr:uid="{00000000-0006-0000-1100-000014000000}">
      <text>
        <r>
          <rPr>
            <b/>
            <sz val="9"/>
            <color indexed="81"/>
            <rFont val="Tahoma"/>
            <family val="2"/>
            <charset val="238"/>
          </rPr>
          <t>PŠ:</t>
        </r>
        <r>
          <rPr>
            <sz val="9"/>
            <color indexed="81"/>
            <rFont val="Tahoma"/>
            <family val="2"/>
            <charset val="238"/>
          </rPr>
          <t xml:space="preserve">
Škol sl. 2b ř. 0203.</t>
        </r>
      </text>
    </comment>
    <comment ref="F23" authorId="0" shapeId="0" xr:uid="{00000000-0006-0000-1100-000015000000}">
      <text>
        <r>
          <rPr>
            <b/>
            <sz val="9"/>
            <color indexed="81"/>
            <rFont val="Tahoma"/>
            <family val="2"/>
            <charset val="238"/>
          </rPr>
          <t>PŠ:</t>
        </r>
        <r>
          <rPr>
            <sz val="9"/>
            <color indexed="81"/>
            <rFont val="Tahoma"/>
            <family val="2"/>
            <charset val="238"/>
          </rPr>
          <t xml:space="preserve">
Škol sl. 12b ř. 0203.</t>
        </r>
      </text>
    </comment>
    <comment ref="K23" authorId="0" shapeId="0" xr:uid="{00000000-0006-0000-1100-000016000000}">
      <text>
        <r>
          <rPr>
            <b/>
            <sz val="9"/>
            <color indexed="81"/>
            <rFont val="Tahoma"/>
            <family val="2"/>
            <charset val="238"/>
          </rPr>
          <t>PŠ:</t>
        </r>
        <r>
          <rPr>
            <sz val="9"/>
            <color indexed="81"/>
            <rFont val="Tahoma"/>
            <family val="2"/>
            <charset val="238"/>
          </rPr>
          <t xml:space="preserve">
Škol. sl. 2 ř. 0203.</t>
        </r>
      </text>
    </comment>
    <comment ref="L23" authorId="0" shapeId="0" xr:uid="{00000000-0006-0000-1100-000017000000}">
      <text>
        <r>
          <rPr>
            <b/>
            <sz val="9"/>
            <color indexed="81"/>
            <rFont val="Tahoma"/>
            <family val="2"/>
            <charset val="238"/>
          </rPr>
          <t>PŠ:</t>
        </r>
        <r>
          <rPr>
            <sz val="9"/>
            <color indexed="81"/>
            <rFont val="Tahoma"/>
            <family val="2"/>
            <charset val="238"/>
          </rPr>
          <t xml:space="preserve">
Škol sl. 12 ř. 0203.</t>
        </r>
      </text>
    </comment>
    <comment ref="E24" authorId="0" shapeId="0" xr:uid="{00000000-0006-0000-1100-000018000000}">
      <text>
        <r>
          <rPr>
            <b/>
            <sz val="9"/>
            <color indexed="81"/>
            <rFont val="Tahoma"/>
            <family val="2"/>
            <charset val="238"/>
          </rPr>
          <t>PŠ:</t>
        </r>
        <r>
          <rPr>
            <sz val="9"/>
            <color indexed="81"/>
            <rFont val="Tahoma"/>
            <family val="2"/>
            <charset val="238"/>
          </rPr>
          <t xml:space="preserve">
Škol sl. 2b ř. 0204.</t>
        </r>
      </text>
    </comment>
    <comment ref="F24" authorId="0" shapeId="0" xr:uid="{00000000-0006-0000-1100-000019000000}">
      <text>
        <r>
          <rPr>
            <b/>
            <sz val="9"/>
            <color indexed="81"/>
            <rFont val="Tahoma"/>
            <family val="2"/>
            <charset val="238"/>
          </rPr>
          <t>PŠ:</t>
        </r>
        <r>
          <rPr>
            <sz val="9"/>
            <color indexed="81"/>
            <rFont val="Tahoma"/>
            <family val="2"/>
            <charset val="238"/>
          </rPr>
          <t xml:space="preserve">
Škol sl. 12b ř. 0204.</t>
        </r>
      </text>
    </comment>
    <comment ref="K24" authorId="0" shapeId="0" xr:uid="{00000000-0006-0000-1100-00001A000000}">
      <text>
        <r>
          <rPr>
            <b/>
            <sz val="9"/>
            <color indexed="81"/>
            <rFont val="Tahoma"/>
            <family val="2"/>
            <charset val="238"/>
          </rPr>
          <t>PŠ:</t>
        </r>
        <r>
          <rPr>
            <sz val="9"/>
            <color indexed="81"/>
            <rFont val="Tahoma"/>
            <family val="2"/>
            <charset val="238"/>
          </rPr>
          <t xml:space="preserve">
Škol sl. 2 ř. 0204.</t>
        </r>
      </text>
    </comment>
    <comment ref="L24" authorId="0" shapeId="0" xr:uid="{00000000-0006-0000-1100-00001B000000}">
      <text>
        <r>
          <rPr>
            <b/>
            <sz val="9"/>
            <color indexed="81"/>
            <rFont val="Tahoma"/>
            <family val="2"/>
            <charset val="238"/>
          </rPr>
          <t>PŠ:</t>
        </r>
        <r>
          <rPr>
            <sz val="9"/>
            <color indexed="81"/>
            <rFont val="Tahoma"/>
            <family val="2"/>
            <charset val="238"/>
          </rPr>
          <t xml:space="preserve">
Škol sl. 12 ř. 0204.</t>
        </r>
      </text>
    </comment>
    <comment ref="E25" authorId="0" shapeId="0" xr:uid="{00000000-0006-0000-1100-00001C000000}">
      <text>
        <r>
          <rPr>
            <b/>
            <sz val="9"/>
            <color indexed="81"/>
            <rFont val="Tahoma"/>
            <family val="2"/>
            <charset val="238"/>
          </rPr>
          <t>PŠ:</t>
        </r>
        <r>
          <rPr>
            <sz val="9"/>
            <color indexed="81"/>
            <rFont val="Tahoma"/>
            <family val="2"/>
            <charset val="238"/>
          </rPr>
          <t xml:space="preserve">
Škol sl. 2b ř. 0205.</t>
        </r>
      </text>
    </comment>
    <comment ref="F25" authorId="0" shapeId="0" xr:uid="{00000000-0006-0000-1100-00001D000000}">
      <text>
        <r>
          <rPr>
            <b/>
            <sz val="9"/>
            <color indexed="81"/>
            <rFont val="Tahoma"/>
            <family val="2"/>
            <charset val="238"/>
          </rPr>
          <t>PŠ:</t>
        </r>
        <r>
          <rPr>
            <sz val="9"/>
            <color indexed="81"/>
            <rFont val="Tahoma"/>
            <family val="2"/>
            <charset val="238"/>
          </rPr>
          <t xml:space="preserve">
Škol sl. 12b ř. 0205.</t>
        </r>
      </text>
    </comment>
    <comment ref="K25" authorId="0" shapeId="0" xr:uid="{00000000-0006-0000-1100-00001E000000}">
      <text>
        <r>
          <rPr>
            <b/>
            <sz val="9"/>
            <color indexed="81"/>
            <rFont val="Tahoma"/>
            <family val="2"/>
            <charset val="238"/>
          </rPr>
          <t>PŠ:</t>
        </r>
        <r>
          <rPr>
            <sz val="9"/>
            <color indexed="81"/>
            <rFont val="Tahoma"/>
            <family val="2"/>
            <charset val="238"/>
          </rPr>
          <t xml:space="preserve">
Škol sl. 2 ř. 0205.</t>
        </r>
      </text>
    </comment>
    <comment ref="L25" authorId="0" shapeId="0" xr:uid="{00000000-0006-0000-1100-00001F000000}">
      <text>
        <r>
          <rPr>
            <b/>
            <sz val="9"/>
            <color indexed="81"/>
            <rFont val="Tahoma"/>
            <family val="2"/>
            <charset val="238"/>
          </rPr>
          <t>PŠ:</t>
        </r>
        <r>
          <rPr>
            <sz val="9"/>
            <color indexed="81"/>
            <rFont val="Tahoma"/>
            <family val="2"/>
            <charset val="238"/>
          </rPr>
          <t xml:space="preserve">
Škol sl. 12 ř. 0205.</t>
        </r>
      </text>
    </comment>
    <comment ref="E26" authorId="0" shapeId="0" xr:uid="{00000000-0006-0000-1100-000020000000}">
      <text>
        <r>
          <rPr>
            <b/>
            <sz val="9"/>
            <color indexed="81"/>
            <rFont val="Tahoma"/>
            <family val="2"/>
            <charset val="238"/>
          </rPr>
          <t>PŠ:</t>
        </r>
        <r>
          <rPr>
            <sz val="9"/>
            <color indexed="81"/>
            <rFont val="Tahoma"/>
            <family val="2"/>
            <charset val="238"/>
          </rPr>
          <t xml:space="preserve">
Škol sl. 2b ř. 0206.</t>
        </r>
      </text>
    </comment>
    <comment ref="F26" authorId="0" shapeId="0" xr:uid="{00000000-0006-0000-1100-000021000000}">
      <text>
        <r>
          <rPr>
            <b/>
            <sz val="9"/>
            <color indexed="81"/>
            <rFont val="Tahoma"/>
            <family val="2"/>
            <charset val="238"/>
          </rPr>
          <t>PŠ:</t>
        </r>
        <r>
          <rPr>
            <sz val="9"/>
            <color indexed="81"/>
            <rFont val="Tahoma"/>
            <family val="2"/>
            <charset val="238"/>
          </rPr>
          <t xml:space="preserve">
Škol sl. 12b ř. 0206.</t>
        </r>
      </text>
    </comment>
    <comment ref="K26" authorId="0" shapeId="0" xr:uid="{00000000-0006-0000-1100-000022000000}">
      <text>
        <r>
          <rPr>
            <b/>
            <sz val="9"/>
            <color indexed="81"/>
            <rFont val="Tahoma"/>
            <family val="2"/>
            <charset val="238"/>
          </rPr>
          <t>PŠ:</t>
        </r>
        <r>
          <rPr>
            <sz val="9"/>
            <color indexed="81"/>
            <rFont val="Tahoma"/>
            <family val="2"/>
            <charset val="238"/>
          </rPr>
          <t xml:space="preserve">
Škol sl. 2 ř. 0206.</t>
        </r>
      </text>
    </comment>
    <comment ref="L26" authorId="0" shapeId="0" xr:uid="{00000000-0006-0000-1100-000023000000}">
      <text>
        <r>
          <rPr>
            <b/>
            <sz val="9"/>
            <color indexed="81"/>
            <rFont val="Tahoma"/>
            <family val="2"/>
            <charset val="238"/>
          </rPr>
          <t>PŠ:</t>
        </r>
        <r>
          <rPr>
            <sz val="9"/>
            <color indexed="81"/>
            <rFont val="Tahoma"/>
            <family val="2"/>
            <charset val="238"/>
          </rPr>
          <t xml:space="preserve">
Škol sl. 12 ř. 0206.</t>
        </r>
      </text>
    </comment>
    <comment ref="E27" authorId="0" shapeId="0" xr:uid="{00000000-0006-0000-1100-000024000000}">
      <text>
        <r>
          <rPr>
            <b/>
            <sz val="9"/>
            <color indexed="81"/>
            <rFont val="Tahoma"/>
            <family val="2"/>
            <charset val="238"/>
          </rPr>
          <t>PŠ:</t>
        </r>
        <r>
          <rPr>
            <sz val="9"/>
            <color indexed="81"/>
            <rFont val="Tahoma"/>
            <family val="2"/>
            <charset val="238"/>
          </rPr>
          <t xml:space="preserve">
Škol sl. 2b ř. 0201.</t>
        </r>
      </text>
    </comment>
    <comment ref="F27" authorId="0" shapeId="0" xr:uid="{00000000-0006-0000-1100-000025000000}">
      <text>
        <r>
          <rPr>
            <b/>
            <sz val="9"/>
            <color indexed="81"/>
            <rFont val="Tahoma"/>
            <family val="2"/>
            <charset val="238"/>
          </rPr>
          <t>PŠ:</t>
        </r>
        <r>
          <rPr>
            <sz val="9"/>
            <color indexed="81"/>
            <rFont val="Tahoma"/>
            <family val="2"/>
            <charset val="238"/>
          </rPr>
          <t xml:space="preserve">
Škol sl. 12b ř. 0201.</t>
        </r>
      </text>
    </comment>
    <comment ref="K27" authorId="0" shapeId="0" xr:uid="{00000000-0006-0000-1100-000026000000}">
      <text>
        <r>
          <rPr>
            <b/>
            <sz val="9"/>
            <color indexed="81"/>
            <rFont val="Tahoma"/>
            <family val="2"/>
            <charset val="238"/>
          </rPr>
          <t>PŠ:</t>
        </r>
        <r>
          <rPr>
            <sz val="9"/>
            <color indexed="81"/>
            <rFont val="Tahoma"/>
            <family val="2"/>
            <charset val="238"/>
          </rPr>
          <t xml:space="preserve">
Škol sl. 2 ř. 0201.</t>
        </r>
      </text>
    </comment>
    <comment ref="L27" authorId="0" shapeId="0" xr:uid="{00000000-0006-0000-1100-000027000000}">
      <text>
        <r>
          <rPr>
            <b/>
            <sz val="9"/>
            <color indexed="81"/>
            <rFont val="Tahoma"/>
            <family val="2"/>
            <charset val="238"/>
          </rPr>
          <t>PŠ:</t>
        </r>
        <r>
          <rPr>
            <sz val="9"/>
            <color indexed="81"/>
            <rFont val="Tahoma"/>
            <family val="2"/>
            <charset val="238"/>
          </rPr>
          <t xml:space="preserve">
Škol sl. 12 ř. 0201.</t>
        </r>
      </text>
    </comment>
    <comment ref="E28" authorId="0" shapeId="0" xr:uid="{00000000-0006-0000-1100-000028000000}">
      <text>
        <r>
          <rPr>
            <b/>
            <sz val="9"/>
            <color indexed="81"/>
            <rFont val="Tahoma"/>
            <family val="2"/>
            <charset val="238"/>
          </rPr>
          <t>PŠ:</t>
        </r>
        <r>
          <rPr>
            <sz val="9"/>
            <color indexed="81"/>
            <rFont val="Tahoma"/>
            <family val="2"/>
            <charset val="238"/>
          </rPr>
          <t xml:space="preserve">
Škol sl. 2b ř. 0200.</t>
        </r>
      </text>
    </comment>
    <comment ref="F28" authorId="0" shapeId="0" xr:uid="{00000000-0006-0000-1100-000029000000}">
      <text>
        <r>
          <rPr>
            <b/>
            <sz val="9"/>
            <color indexed="81"/>
            <rFont val="Tahoma"/>
            <family val="2"/>
            <charset val="238"/>
          </rPr>
          <t>PŠ:</t>
        </r>
        <r>
          <rPr>
            <sz val="9"/>
            <color indexed="81"/>
            <rFont val="Tahoma"/>
            <family val="2"/>
            <charset val="238"/>
          </rPr>
          <t xml:space="preserve">
Škol sl. 12b ř. 0200.</t>
        </r>
      </text>
    </comment>
    <comment ref="K28" authorId="0" shapeId="0" xr:uid="{00000000-0006-0000-1100-00002A000000}">
      <text>
        <r>
          <rPr>
            <b/>
            <sz val="9"/>
            <color indexed="81"/>
            <rFont val="Tahoma"/>
            <family val="2"/>
            <charset val="238"/>
          </rPr>
          <t>PŠ:</t>
        </r>
        <r>
          <rPr>
            <sz val="9"/>
            <color indexed="81"/>
            <rFont val="Tahoma"/>
            <family val="2"/>
            <charset val="238"/>
          </rPr>
          <t xml:space="preserve">
Škol sl. 2 ř. 0200.</t>
        </r>
      </text>
    </comment>
    <comment ref="L28" authorId="0" shapeId="0" xr:uid="{00000000-0006-0000-1100-00002B000000}">
      <text>
        <r>
          <rPr>
            <b/>
            <sz val="9"/>
            <color indexed="81"/>
            <rFont val="Tahoma"/>
            <family val="2"/>
            <charset val="238"/>
          </rPr>
          <t>PŠ:</t>
        </r>
        <r>
          <rPr>
            <sz val="9"/>
            <color indexed="81"/>
            <rFont val="Tahoma"/>
            <family val="2"/>
            <charset val="238"/>
          </rPr>
          <t xml:space="preserve">
Škol sl. 12 ř. 0200.</t>
        </r>
      </text>
    </comment>
    <comment ref="K29" authorId="0" shapeId="0" xr:uid="{00000000-0006-0000-1100-00002C000000}">
      <text>
        <r>
          <rPr>
            <b/>
            <sz val="9"/>
            <color indexed="81"/>
            <rFont val="Tahoma"/>
            <family val="2"/>
            <charset val="238"/>
          </rPr>
          <t>PŠ:</t>
        </r>
        <r>
          <rPr>
            <sz val="9"/>
            <color indexed="81"/>
            <rFont val="Tahoma"/>
            <family val="2"/>
            <charset val="238"/>
          </rPr>
          <t xml:space="preserve">
Škol sl. 2 ř. 0207.</t>
        </r>
      </text>
    </comment>
    <comment ref="L29" authorId="0" shapeId="0" xr:uid="{00000000-0006-0000-1100-00002D000000}">
      <text>
        <r>
          <rPr>
            <b/>
            <sz val="9"/>
            <color indexed="81"/>
            <rFont val="Tahoma"/>
            <family val="2"/>
            <charset val="238"/>
          </rPr>
          <t>PŠ:</t>
        </r>
        <r>
          <rPr>
            <sz val="9"/>
            <color indexed="81"/>
            <rFont val="Tahoma"/>
            <family val="2"/>
            <charset val="238"/>
          </rPr>
          <t xml:space="preserve">
Škol sl. 12 ř. 0207.</t>
        </r>
      </text>
    </comment>
    <comment ref="E33" authorId="0" shapeId="0" xr:uid="{00000000-0006-0000-1100-00002E000000}">
      <text>
        <r>
          <rPr>
            <b/>
            <sz val="9"/>
            <color indexed="81"/>
            <rFont val="Tahoma"/>
            <family val="2"/>
            <charset val="238"/>
          </rPr>
          <t>PŠ:</t>
        </r>
        <r>
          <rPr>
            <sz val="9"/>
            <color indexed="81"/>
            <rFont val="Tahoma"/>
            <family val="2"/>
            <charset val="238"/>
          </rPr>
          <t xml:space="preserve">
Škol sl. 2 ř. 0307.</t>
        </r>
      </text>
    </comment>
    <comment ref="F33" authorId="0" shapeId="0" xr:uid="{00000000-0006-0000-1100-00002F000000}">
      <text>
        <r>
          <rPr>
            <b/>
            <sz val="9"/>
            <color indexed="81"/>
            <rFont val="Tahoma"/>
            <family val="2"/>
            <charset val="238"/>
          </rPr>
          <t>PŠ:</t>
        </r>
        <r>
          <rPr>
            <sz val="9"/>
            <color indexed="81"/>
            <rFont val="Tahoma"/>
            <family val="2"/>
            <charset val="238"/>
          </rPr>
          <t xml:space="preserve">
Škol sl. 12 ř. 0307.</t>
        </r>
      </text>
    </comment>
    <comment ref="K33" authorId="0" shapeId="0" xr:uid="{00000000-0006-0000-1100-000030000000}">
      <text>
        <r>
          <rPr>
            <b/>
            <sz val="9"/>
            <color indexed="81"/>
            <rFont val="Tahoma"/>
            <family val="2"/>
            <charset val="238"/>
          </rPr>
          <t>PŠ:</t>
        </r>
        <r>
          <rPr>
            <sz val="9"/>
            <color indexed="81"/>
            <rFont val="Tahoma"/>
            <family val="2"/>
            <charset val="238"/>
          </rPr>
          <t xml:space="preserve">
Škol sl. 2 ř. 0311.</t>
        </r>
      </text>
    </comment>
    <comment ref="L33" authorId="0" shapeId="0" xr:uid="{00000000-0006-0000-1100-000031000000}">
      <text>
        <r>
          <rPr>
            <b/>
            <sz val="9"/>
            <color indexed="81"/>
            <rFont val="Tahoma"/>
            <family val="2"/>
            <charset val="238"/>
          </rPr>
          <t>PŠ:</t>
        </r>
        <r>
          <rPr>
            <sz val="9"/>
            <color indexed="81"/>
            <rFont val="Tahoma"/>
            <family val="2"/>
            <charset val="238"/>
          </rPr>
          <t xml:space="preserve">
Škol sl. 12 ř. 0311.</t>
        </r>
      </text>
    </comment>
    <comment ref="E49" authorId="0" shapeId="0" xr:uid="{00000000-0006-0000-1100-000032000000}">
      <text>
        <r>
          <rPr>
            <b/>
            <sz val="9"/>
            <color indexed="81"/>
            <rFont val="Tahoma"/>
            <family val="2"/>
            <charset val="238"/>
          </rPr>
          <t>PŠ:</t>
        </r>
        <r>
          <rPr>
            <sz val="9"/>
            <color indexed="81"/>
            <rFont val="Tahoma"/>
            <family val="2"/>
            <charset val="238"/>
          </rPr>
          <t xml:space="preserve">
Škol ř. 0307.</t>
        </r>
      </text>
    </comment>
    <comment ref="I49" authorId="0" shapeId="0" xr:uid="{00000000-0006-0000-1100-000033000000}">
      <text>
        <r>
          <rPr>
            <b/>
            <sz val="9"/>
            <color indexed="81"/>
            <rFont val="Tahoma"/>
            <family val="2"/>
            <charset val="238"/>
          </rPr>
          <t>PŠ:</t>
        </r>
        <r>
          <rPr>
            <sz val="9"/>
            <color indexed="81"/>
            <rFont val="Tahoma"/>
            <family val="2"/>
            <charset val="238"/>
          </rPr>
          <t xml:space="preserve">
Škol ř. 0306.</t>
        </r>
      </text>
    </comment>
    <comment ref="M49" authorId="0" shapeId="0" xr:uid="{00000000-0006-0000-1100-000034000000}">
      <text>
        <r>
          <rPr>
            <b/>
            <sz val="9"/>
            <color indexed="81"/>
            <rFont val="Tahoma"/>
            <family val="2"/>
            <charset val="238"/>
          </rPr>
          <t>PŠ:</t>
        </r>
        <r>
          <rPr>
            <sz val="9"/>
            <color indexed="81"/>
            <rFont val="Tahoma"/>
            <family val="2"/>
            <charset val="238"/>
          </rPr>
          <t xml:space="preserve">
Škol ř. 0309b.</t>
        </r>
      </text>
    </comment>
    <comment ref="W53" authorId="0" shapeId="0" xr:uid="{00000000-0006-0000-1100-000035000000}">
      <text>
        <r>
          <rPr>
            <b/>
            <sz val="9"/>
            <color indexed="81"/>
            <rFont val="Tahoma"/>
            <family val="2"/>
            <charset val="238"/>
          </rPr>
          <t>PŠ:</t>
        </r>
        <r>
          <rPr>
            <sz val="9"/>
            <color indexed="81"/>
            <rFont val="Tahoma"/>
            <family val="2"/>
            <charset val="238"/>
          </rPr>
          <t xml:space="preserve">
Škol sl. 12 ř. 0200.</t>
        </r>
      </text>
    </comment>
    <comment ref="W54" authorId="0" shapeId="0" xr:uid="{00000000-0006-0000-1100-000036000000}">
      <text>
        <r>
          <rPr>
            <b/>
            <sz val="9"/>
            <color indexed="81"/>
            <rFont val="Tahoma"/>
            <family val="2"/>
            <charset val="238"/>
          </rPr>
          <t>PŠ:</t>
        </r>
        <r>
          <rPr>
            <sz val="9"/>
            <color indexed="81"/>
            <rFont val="Tahoma"/>
            <family val="2"/>
            <charset val="238"/>
          </rPr>
          <t xml:space="preserve">
Škol sl. 12 ř. 0207.</t>
        </r>
      </text>
    </comment>
    <comment ref="G58" authorId="0" shapeId="0" xr:uid="{00000000-0006-0000-1100-000037000000}">
      <text>
        <r>
          <rPr>
            <b/>
            <sz val="9"/>
            <color indexed="81"/>
            <rFont val="Tahoma"/>
            <family val="2"/>
            <charset val="238"/>
          </rPr>
          <t>PŠ:</t>
        </r>
        <r>
          <rPr>
            <sz val="9"/>
            <color indexed="81"/>
            <rFont val="Tahoma"/>
            <family val="2"/>
            <charset val="238"/>
          </rPr>
          <t xml:space="preserve">
Škol sl. 12 ř. 0305.</t>
        </r>
      </text>
    </comment>
    <comment ref="H58" authorId="0" shapeId="0" xr:uid="{00000000-0006-0000-1100-000038000000}">
      <text>
        <r>
          <rPr>
            <b/>
            <sz val="9"/>
            <color indexed="81"/>
            <rFont val="Tahoma"/>
            <family val="2"/>
            <charset val="238"/>
          </rPr>
          <t>PŠ:</t>
        </r>
        <r>
          <rPr>
            <sz val="9"/>
            <color indexed="81"/>
            <rFont val="Tahoma"/>
            <family val="2"/>
            <charset val="238"/>
          </rPr>
          <t xml:space="preserve">
Škol sl. 17 ř. 0305.</t>
        </r>
      </text>
    </comment>
    <comment ref="Q58" authorId="0" shapeId="0" xr:uid="{00000000-0006-0000-1100-000039000000}">
      <text>
        <r>
          <rPr>
            <b/>
            <sz val="9"/>
            <color indexed="81"/>
            <rFont val="Tahoma"/>
            <family val="2"/>
            <charset val="238"/>
          </rPr>
          <t>PŠ:</t>
        </r>
        <r>
          <rPr>
            <sz val="9"/>
            <color indexed="81"/>
            <rFont val="Tahoma"/>
            <family val="2"/>
            <charset val="238"/>
          </rPr>
          <t xml:space="preserve">
Škol sl. 12 ř. 0310.</t>
        </r>
      </text>
    </comment>
    <comment ref="R58" authorId="0" shapeId="0" xr:uid="{00000000-0006-0000-1100-00003A000000}">
      <text>
        <r>
          <rPr>
            <b/>
            <sz val="9"/>
            <color indexed="81"/>
            <rFont val="Tahoma"/>
            <family val="2"/>
            <charset val="238"/>
          </rPr>
          <t>PŠ:</t>
        </r>
        <r>
          <rPr>
            <sz val="9"/>
            <color indexed="81"/>
            <rFont val="Tahoma"/>
            <family val="2"/>
            <charset val="238"/>
          </rPr>
          <t xml:space="preserve">
Škol sl. 17 ř. 0310.</t>
        </r>
      </text>
    </comment>
    <comment ref="S58" authorId="0" shapeId="0" xr:uid="{00000000-0006-0000-1100-00003B000000}">
      <text>
        <r>
          <rPr>
            <b/>
            <sz val="9"/>
            <color indexed="81"/>
            <rFont val="Tahoma"/>
            <family val="2"/>
            <charset val="238"/>
          </rPr>
          <t>PŠ:</t>
        </r>
        <r>
          <rPr>
            <sz val="9"/>
            <color indexed="81"/>
            <rFont val="Tahoma"/>
            <family val="2"/>
            <charset val="238"/>
          </rPr>
          <t xml:space="preserve">
Škol sl. 12 ř. 0308.</t>
        </r>
      </text>
    </comment>
    <comment ref="T58" authorId="0" shapeId="0" xr:uid="{00000000-0006-0000-1100-00003C000000}">
      <text>
        <r>
          <rPr>
            <b/>
            <sz val="9"/>
            <color indexed="81"/>
            <rFont val="Tahoma"/>
            <family val="2"/>
            <charset val="238"/>
          </rPr>
          <t>PŠ:</t>
        </r>
        <r>
          <rPr>
            <sz val="9"/>
            <color indexed="81"/>
            <rFont val="Tahoma"/>
            <family val="2"/>
            <charset val="238"/>
          </rPr>
          <t xml:space="preserve">
Škol sl. 17 ř. 0308.</t>
        </r>
      </text>
    </comment>
    <comment ref="U58" authorId="0" shapeId="0" xr:uid="{00000000-0006-0000-1100-00003D000000}">
      <text>
        <r>
          <rPr>
            <b/>
            <sz val="9"/>
            <color indexed="81"/>
            <rFont val="Tahoma"/>
            <family val="2"/>
            <charset val="238"/>
          </rPr>
          <t>PŠ:</t>
        </r>
        <r>
          <rPr>
            <sz val="9"/>
            <color indexed="81"/>
            <rFont val="Tahoma"/>
            <family val="2"/>
            <charset val="238"/>
          </rPr>
          <t xml:space="preserve">
Škol sl. 12 ř. 0309.</t>
        </r>
      </text>
    </comment>
    <comment ref="V58" authorId="0" shapeId="0" xr:uid="{00000000-0006-0000-1100-00003E000000}">
      <text>
        <r>
          <rPr>
            <b/>
            <sz val="9"/>
            <color indexed="81"/>
            <rFont val="Tahoma"/>
            <family val="2"/>
            <charset val="238"/>
          </rPr>
          <t>PŠ:</t>
        </r>
        <r>
          <rPr>
            <sz val="9"/>
            <color indexed="81"/>
            <rFont val="Tahoma"/>
            <family val="2"/>
            <charset val="238"/>
          </rPr>
          <t xml:space="preserve">
Škol sl. 17 ř. 0309.</t>
        </r>
      </text>
    </comment>
    <comment ref="W58" authorId="0" shapeId="0" xr:uid="{00000000-0006-0000-1100-00003F000000}">
      <text>
        <r>
          <rPr>
            <b/>
            <sz val="9"/>
            <color indexed="81"/>
            <rFont val="Tahoma"/>
            <family val="2"/>
            <charset val="238"/>
          </rPr>
          <t>PŠ:</t>
        </r>
        <r>
          <rPr>
            <sz val="9"/>
            <color indexed="81"/>
            <rFont val="Tahoma"/>
            <family val="2"/>
            <charset val="238"/>
          </rPr>
          <t xml:space="preserve">
Škol sl. 12 ř. 0311.</t>
        </r>
      </text>
    </comment>
    <comment ref="X58" authorId="0" shapeId="0" xr:uid="{00000000-0006-0000-1100-000040000000}">
      <text>
        <r>
          <rPr>
            <b/>
            <sz val="9"/>
            <color indexed="81"/>
            <rFont val="Tahoma"/>
            <family val="2"/>
            <charset val="238"/>
          </rPr>
          <t>PŠ:</t>
        </r>
        <r>
          <rPr>
            <sz val="9"/>
            <color indexed="81"/>
            <rFont val="Tahoma"/>
            <family val="2"/>
            <charset val="238"/>
          </rPr>
          <t xml:space="preserve">
Škol sl. 17 ř. 0311.</t>
        </r>
      </text>
    </comment>
    <comment ref="K65" authorId="0" shapeId="0" xr:uid="{00000000-0006-0000-1100-000041000000}">
      <text>
        <r>
          <rPr>
            <b/>
            <sz val="9"/>
            <color indexed="81"/>
            <rFont val="Tahoma"/>
            <family val="2"/>
            <charset val="238"/>
          </rPr>
          <t>PŠ:</t>
        </r>
        <r>
          <rPr>
            <sz val="9"/>
            <color indexed="81"/>
            <rFont val="Tahoma"/>
            <family val="2"/>
            <charset val="238"/>
          </rPr>
          <t xml:space="preserve">
Škol sl. 2 ř. 0202.</t>
        </r>
      </text>
    </comment>
    <comment ref="L65" authorId="0" shapeId="0" xr:uid="{00000000-0006-0000-1100-000042000000}">
      <text>
        <r>
          <rPr>
            <b/>
            <sz val="9"/>
            <color indexed="81"/>
            <rFont val="Tahoma"/>
            <family val="2"/>
            <charset val="238"/>
          </rPr>
          <t>PŠ:</t>
        </r>
        <r>
          <rPr>
            <sz val="9"/>
            <color indexed="81"/>
            <rFont val="Tahoma"/>
            <family val="2"/>
            <charset val="238"/>
          </rPr>
          <t xml:space="preserve">
Škol sl. 12 ř. 0202.</t>
        </r>
      </text>
    </comment>
    <comment ref="K66" authorId="0" shapeId="0" xr:uid="{00000000-0006-0000-1100-000043000000}">
      <text>
        <r>
          <rPr>
            <b/>
            <sz val="9"/>
            <color indexed="81"/>
            <rFont val="Tahoma"/>
            <family val="2"/>
            <charset val="238"/>
          </rPr>
          <t>PŠ:</t>
        </r>
        <r>
          <rPr>
            <sz val="9"/>
            <color indexed="81"/>
            <rFont val="Tahoma"/>
            <family val="2"/>
            <charset val="238"/>
          </rPr>
          <t xml:space="preserve">
Škol. sl. 2 ř. 0203.</t>
        </r>
      </text>
    </comment>
    <comment ref="L66" authorId="0" shapeId="0" xr:uid="{00000000-0006-0000-1100-000044000000}">
      <text>
        <r>
          <rPr>
            <b/>
            <sz val="9"/>
            <color indexed="81"/>
            <rFont val="Tahoma"/>
            <family val="2"/>
            <charset val="238"/>
          </rPr>
          <t>PŠ:</t>
        </r>
        <r>
          <rPr>
            <sz val="9"/>
            <color indexed="81"/>
            <rFont val="Tahoma"/>
            <family val="2"/>
            <charset val="238"/>
          </rPr>
          <t xml:space="preserve">
Škol sl. 12 ř. 0203.</t>
        </r>
      </text>
    </comment>
    <comment ref="K67" authorId="0" shapeId="0" xr:uid="{00000000-0006-0000-1100-000045000000}">
      <text>
        <r>
          <rPr>
            <b/>
            <sz val="9"/>
            <color indexed="81"/>
            <rFont val="Tahoma"/>
            <family val="2"/>
            <charset val="238"/>
          </rPr>
          <t>PŠ:</t>
        </r>
        <r>
          <rPr>
            <sz val="9"/>
            <color indexed="81"/>
            <rFont val="Tahoma"/>
            <family val="2"/>
            <charset val="238"/>
          </rPr>
          <t xml:space="preserve">
Škol sl. 2 ř. 0204.</t>
        </r>
      </text>
    </comment>
    <comment ref="L67" authorId="0" shapeId="0" xr:uid="{00000000-0006-0000-1100-000046000000}">
      <text>
        <r>
          <rPr>
            <b/>
            <sz val="9"/>
            <color indexed="81"/>
            <rFont val="Tahoma"/>
            <family val="2"/>
            <charset val="238"/>
          </rPr>
          <t>PŠ:</t>
        </r>
        <r>
          <rPr>
            <sz val="9"/>
            <color indexed="81"/>
            <rFont val="Tahoma"/>
            <family val="2"/>
            <charset val="238"/>
          </rPr>
          <t xml:space="preserve">
Škol sl. 12 ř. 0204.</t>
        </r>
      </text>
    </comment>
    <comment ref="K68" authorId="0" shapeId="0" xr:uid="{00000000-0006-0000-1100-000047000000}">
      <text>
        <r>
          <rPr>
            <b/>
            <sz val="9"/>
            <color indexed="81"/>
            <rFont val="Tahoma"/>
            <family val="2"/>
            <charset val="238"/>
          </rPr>
          <t>PŠ:</t>
        </r>
        <r>
          <rPr>
            <sz val="9"/>
            <color indexed="81"/>
            <rFont val="Tahoma"/>
            <family val="2"/>
            <charset val="238"/>
          </rPr>
          <t xml:space="preserve">
Škol sl. 2 ř. 0205.</t>
        </r>
      </text>
    </comment>
    <comment ref="L68" authorId="0" shapeId="0" xr:uid="{00000000-0006-0000-1100-000048000000}">
      <text>
        <r>
          <rPr>
            <b/>
            <sz val="9"/>
            <color indexed="81"/>
            <rFont val="Tahoma"/>
            <family val="2"/>
            <charset val="238"/>
          </rPr>
          <t>PŠ:</t>
        </r>
        <r>
          <rPr>
            <sz val="9"/>
            <color indexed="81"/>
            <rFont val="Tahoma"/>
            <family val="2"/>
            <charset val="238"/>
          </rPr>
          <t xml:space="preserve">
Škol sl. 12 ř. 0205.</t>
        </r>
      </text>
    </comment>
    <comment ref="K69" authorId="0" shapeId="0" xr:uid="{00000000-0006-0000-1100-000049000000}">
      <text>
        <r>
          <rPr>
            <b/>
            <sz val="9"/>
            <color indexed="81"/>
            <rFont val="Tahoma"/>
            <family val="2"/>
            <charset val="238"/>
          </rPr>
          <t>PŠ:</t>
        </r>
        <r>
          <rPr>
            <sz val="9"/>
            <color indexed="81"/>
            <rFont val="Tahoma"/>
            <family val="2"/>
            <charset val="238"/>
          </rPr>
          <t xml:space="preserve">
Škol sl. 2 ř. 0206.</t>
        </r>
      </text>
    </comment>
    <comment ref="L69" authorId="0" shapeId="0" xr:uid="{00000000-0006-0000-1100-00004A000000}">
      <text>
        <r>
          <rPr>
            <b/>
            <sz val="9"/>
            <color indexed="81"/>
            <rFont val="Tahoma"/>
            <family val="2"/>
            <charset val="238"/>
          </rPr>
          <t>PŠ:</t>
        </r>
        <r>
          <rPr>
            <sz val="9"/>
            <color indexed="81"/>
            <rFont val="Tahoma"/>
            <family val="2"/>
            <charset val="238"/>
          </rPr>
          <t xml:space="preserve">
Škol sl. 12 ř. 0206.</t>
        </r>
      </text>
    </comment>
    <comment ref="K70" authorId="0" shapeId="0" xr:uid="{00000000-0006-0000-1100-00004B000000}">
      <text>
        <r>
          <rPr>
            <b/>
            <sz val="9"/>
            <color indexed="81"/>
            <rFont val="Tahoma"/>
            <family val="2"/>
            <charset val="238"/>
          </rPr>
          <t>PŠ:</t>
        </r>
        <r>
          <rPr>
            <sz val="9"/>
            <color indexed="81"/>
            <rFont val="Tahoma"/>
            <family val="2"/>
            <charset val="238"/>
          </rPr>
          <t xml:space="preserve">
Škol sl. 2 ř. 0201.</t>
        </r>
      </text>
    </comment>
    <comment ref="L70" authorId="0" shapeId="0" xr:uid="{00000000-0006-0000-1100-00004C000000}">
      <text>
        <r>
          <rPr>
            <b/>
            <sz val="9"/>
            <color indexed="81"/>
            <rFont val="Tahoma"/>
            <family val="2"/>
            <charset val="238"/>
          </rPr>
          <t>PŠ:</t>
        </r>
        <r>
          <rPr>
            <sz val="9"/>
            <color indexed="81"/>
            <rFont val="Tahoma"/>
            <family val="2"/>
            <charset val="238"/>
          </rPr>
          <t xml:space="preserve">
Škol sl. 12 ř. 0201.</t>
        </r>
      </text>
    </comment>
    <comment ref="E71" authorId="0" shapeId="0" xr:uid="{00000000-0006-0000-1100-00004D000000}">
      <text>
        <r>
          <rPr>
            <b/>
            <sz val="9"/>
            <color indexed="81"/>
            <rFont val="Tahoma"/>
            <family val="2"/>
            <charset val="238"/>
          </rPr>
          <t>PŠ:</t>
        </r>
        <r>
          <rPr>
            <sz val="9"/>
            <color indexed="81"/>
            <rFont val="Tahoma"/>
            <family val="2"/>
            <charset val="238"/>
          </rPr>
          <t xml:space="preserve">
Škol sl. 2b ř. 0200.</t>
        </r>
      </text>
    </comment>
    <comment ref="F71" authorId="0" shapeId="0" xr:uid="{00000000-0006-0000-1100-00004E000000}">
      <text>
        <r>
          <rPr>
            <b/>
            <sz val="9"/>
            <color indexed="81"/>
            <rFont val="Tahoma"/>
            <family val="2"/>
            <charset val="238"/>
          </rPr>
          <t>PŠ:</t>
        </r>
        <r>
          <rPr>
            <sz val="9"/>
            <color indexed="81"/>
            <rFont val="Tahoma"/>
            <family val="2"/>
            <charset val="238"/>
          </rPr>
          <t xml:space="preserve">
Škol sl. 12b ř. 0200.</t>
        </r>
      </text>
    </comment>
    <comment ref="K71" authorId="0" shapeId="0" xr:uid="{00000000-0006-0000-1100-00004F000000}">
      <text>
        <r>
          <rPr>
            <b/>
            <sz val="9"/>
            <color indexed="81"/>
            <rFont val="Tahoma"/>
            <family val="2"/>
            <charset val="238"/>
          </rPr>
          <t>PŠ:</t>
        </r>
        <r>
          <rPr>
            <sz val="9"/>
            <color indexed="81"/>
            <rFont val="Tahoma"/>
            <family val="2"/>
            <charset val="238"/>
          </rPr>
          <t xml:space="preserve">
Škol sl. 2 ř. 0200.</t>
        </r>
      </text>
    </comment>
    <comment ref="L71" authorId="0" shapeId="0" xr:uid="{00000000-0006-0000-1100-000050000000}">
      <text>
        <r>
          <rPr>
            <b/>
            <sz val="9"/>
            <color indexed="81"/>
            <rFont val="Tahoma"/>
            <family val="2"/>
            <charset val="238"/>
          </rPr>
          <t>PŠ:</t>
        </r>
        <r>
          <rPr>
            <sz val="9"/>
            <color indexed="81"/>
            <rFont val="Tahoma"/>
            <family val="2"/>
            <charset val="238"/>
          </rPr>
          <t xml:space="preserve">
Škol sl. 12 ř. 0200.</t>
        </r>
      </text>
    </comment>
    <comment ref="K72" authorId="0" shapeId="0" xr:uid="{00000000-0006-0000-1100-000051000000}">
      <text>
        <r>
          <rPr>
            <b/>
            <sz val="9"/>
            <color indexed="81"/>
            <rFont val="Tahoma"/>
            <family val="2"/>
            <charset val="238"/>
          </rPr>
          <t>PŠ:</t>
        </r>
        <r>
          <rPr>
            <sz val="9"/>
            <color indexed="81"/>
            <rFont val="Tahoma"/>
            <family val="2"/>
            <charset val="238"/>
          </rPr>
          <t xml:space="preserve">
Škol sl. 2 ř. 0207.</t>
        </r>
      </text>
    </comment>
    <comment ref="L72" authorId="0" shapeId="0" xr:uid="{00000000-0006-0000-1100-000052000000}">
      <text>
        <r>
          <rPr>
            <b/>
            <sz val="9"/>
            <color indexed="81"/>
            <rFont val="Tahoma"/>
            <family val="2"/>
            <charset val="238"/>
          </rPr>
          <t>PŠ:</t>
        </r>
        <r>
          <rPr>
            <sz val="9"/>
            <color indexed="81"/>
            <rFont val="Tahoma"/>
            <family val="2"/>
            <charset val="238"/>
          </rPr>
          <t xml:space="preserve">
Škol sl. 12 ř. 0207.</t>
        </r>
      </text>
    </comment>
    <comment ref="E76" authorId="0" shapeId="0" xr:uid="{00000000-0006-0000-1100-000053000000}">
      <text>
        <r>
          <rPr>
            <b/>
            <sz val="9"/>
            <color indexed="81"/>
            <rFont val="Tahoma"/>
            <family val="2"/>
            <charset val="238"/>
          </rPr>
          <t>PŠ:</t>
        </r>
        <r>
          <rPr>
            <sz val="9"/>
            <color indexed="81"/>
            <rFont val="Tahoma"/>
            <family val="2"/>
            <charset val="238"/>
          </rPr>
          <t xml:space="preserve">
Škol sl. 2 ř. 0307.</t>
        </r>
      </text>
    </comment>
    <comment ref="F76" authorId="0" shapeId="0" xr:uid="{00000000-0006-0000-1100-000054000000}">
      <text>
        <r>
          <rPr>
            <b/>
            <sz val="9"/>
            <color indexed="81"/>
            <rFont val="Tahoma"/>
            <family val="2"/>
            <charset val="238"/>
          </rPr>
          <t>PŠ:</t>
        </r>
        <r>
          <rPr>
            <sz val="9"/>
            <color indexed="81"/>
            <rFont val="Tahoma"/>
            <family val="2"/>
            <charset val="238"/>
          </rPr>
          <t xml:space="preserve">
Škol sl. 12 ř. 0307.</t>
        </r>
      </text>
    </comment>
    <comment ref="K76" authorId="0" shapeId="0" xr:uid="{00000000-0006-0000-1100-000055000000}">
      <text>
        <r>
          <rPr>
            <b/>
            <sz val="9"/>
            <color indexed="81"/>
            <rFont val="Tahoma"/>
            <family val="2"/>
            <charset val="238"/>
          </rPr>
          <t>PŠ:</t>
        </r>
        <r>
          <rPr>
            <sz val="9"/>
            <color indexed="81"/>
            <rFont val="Tahoma"/>
            <family val="2"/>
            <charset val="238"/>
          </rPr>
          <t xml:space="preserve">
Škol sl. 2 ř. 0311.</t>
        </r>
      </text>
    </comment>
    <comment ref="L76" authorId="0" shapeId="0" xr:uid="{00000000-0006-0000-1100-000056000000}">
      <text>
        <r>
          <rPr>
            <b/>
            <sz val="9"/>
            <color indexed="81"/>
            <rFont val="Tahoma"/>
            <family val="2"/>
            <charset val="238"/>
          </rPr>
          <t>PŠ:</t>
        </r>
        <r>
          <rPr>
            <sz val="9"/>
            <color indexed="81"/>
            <rFont val="Tahoma"/>
            <family val="2"/>
            <charset val="238"/>
          </rPr>
          <t xml:space="preserve">
Škol sl. 12 ř. 0311.</t>
        </r>
      </text>
    </comment>
    <comment ref="E81" authorId="0" shapeId="0" xr:uid="{00000000-0006-0000-1100-000057000000}">
      <text>
        <r>
          <rPr>
            <b/>
            <sz val="9"/>
            <color indexed="81"/>
            <rFont val="Tahoma"/>
            <family val="2"/>
            <charset val="238"/>
          </rPr>
          <t>PŠ:</t>
        </r>
        <r>
          <rPr>
            <sz val="9"/>
            <color indexed="81"/>
            <rFont val="Tahoma"/>
            <family val="2"/>
            <charset val="238"/>
          </rPr>
          <t xml:space="preserve">
Škol ř. 0307.</t>
        </r>
      </text>
    </comment>
    <comment ref="I81" authorId="0" shapeId="0" xr:uid="{00000000-0006-0000-1100-000058000000}">
      <text>
        <r>
          <rPr>
            <b/>
            <sz val="9"/>
            <color indexed="81"/>
            <rFont val="Tahoma"/>
            <family val="2"/>
            <charset val="238"/>
          </rPr>
          <t>PŠ:</t>
        </r>
        <r>
          <rPr>
            <sz val="9"/>
            <color indexed="81"/>
            <rFont val="Tahoma"/>
            <family val="2"/>
            <charset val="238"/>
          </rPr>
          <t xml:space="preserve">
Škol ř. 0306.</t>
        </r>
      </text>
    </comment>
    <comment ref="M81" authorId="0" shapeId="0" xr:uid="{00000000-0006-0000-1100-000059000000}">
      <text>
        <r>
          <rPr>
            <b/>
            <sz val="9"/>
            <color indexed="81"/>
            <rFont val="Tahoma"/>
            <family val="2"/>
            <charset val="238"/>
          </rPr>
          <t>PŠ:</t>
        </r>
        <r>
          <rPr>
            <sz val="9"/>
            <color indexed="81"/>
            <rFont val="Tahoma"/>
            <family val="2"/>
            <charset val="238"/>
          </rPr>
          <t xml:space="preserve">
Škol ř. 0309b.</t>
        </r>
      </text>
    </comment>
    <comment ref="W85" authorId="0" shapeId="0" xr:uid="{00000000-0006-0000-1100-00005A000000}">
      <text>
        <r>
          <rPr>
            <b/>
            <sz val="9"/>
            <color indexed="81"/>
            <rFont val="Tahoma"/>
            <family val="2"/>
            <charset val="238"/>
          </rPr>
          <t>PŠ:</t>
        </r>
        <r>
          <rPr>
            <sz val="9"/>
            <color indexed="81"/>
            <rFont val="Tahoma"/>
            <family val="2"/>
            <charset val="238"/>
          </rPr>
          <t xml:space="preserve">
Škol sl. 12 ř. 0200.</t>
        </r>
      </text>
    </comment>
    <comment ref="W86" authorId="0" shapeId="0" xr:uid="{00000000-0006-0000-1100-00005B000000}">
      <text>
        <r>
          <rPr>
            <b/>
            <sz val="9"/>
            <color indexed="81"/>
            <rFont val="Tahoma"/>
            <family val="2"/>
            <charset val="238"/>
          </rPr>
          <t>PŠ:</t>
        </r>
        <r>
          <rPr>
            <sz val="9"/>
            <color indexed="81"/>
            <rFont val="Tahoma"/>
            <family val="2"/>
            <charset val="238"/>
          </rPr>
          <t xml:space="preserve">
Škol sl. 12 ř. 0207.</t>
        </r>
      </text>
    </comment>
    <comment ref="G90" authorId="0" shapeId="0" xr:uid="{00000000-0006-0000-1100-00005C000000}">
      <text>
        <r>
          <rPr>
            <b/>
            <sz val="9"/>
            <color indexed="81"/>
            <rFont val="Tahoma"/>
            <family val="2"/>
            <charset val="238"/>
          </rPr>
          <t>PŠ:</t>
        </r>
        <r>
          <rPr>
            <sz val="9"/>
            <color indexed="81"/>
            <rFont val="Tahoma"/>
            <family val="2"/>
            <charset val="238"/>
          </rPr>
          <t xml:space="preserve">
Škol sl. 12 ř. 0305.</t>
        </r>
      </text>
    </comment>
    <comment ref="H90" authorId="0" shapeId="0" xr:uid="{00000000-0006-0000-1100-00005D000000}">
      <text>
        <r>
          <rPr>
            <b/>
            <sz val="9"/>
            <color indexed="81"/>
            <rFont val="Tahoma"/>
            <family val="2"/>
            <charset val="238"/>
          </rPr>
          <t>PŠ:</t>
        </r>
        <r>
          <rPr>
            <sz val="9"/>
            <color indexed="81"/>
            <rFont val="Tahoma"/>
            <family val="2"/>
            <charset val="238"/>
          </rPr>
          <t xml:space="preserve">
Škol sl. 17 ř. 0305.</t>
        </r>
      </text>
    </comment>
    <comment ref="Q90" authorId="0" shapeId="0" xr:uid="{00000000-0006-0000-1100-00005E000000}">
      <text>
        <r>
          <rPr>
            <b/>
            <sz val="9"/>
            <color indexed="81"/>
            <rFont val="Tahoma"/>
            <family val="2"/>
            <charset val="238"/>
          </rPr>
          <t>PŠ:</t>
        </r>
        <r>
          <rPr>
            <sz val="9"/>
            <color indexed="81"/>
            <rFont val="Tahoma"/>
            <family val="2"/>
            <charset val="238"/>
          </rPr>
          <t xml:space="preserve">
Škol sl. 12 ř. 0310.</t>
        </r>
      </text>
    </comment>
    <comment ref="R90" authorId="0" shapeId="0" xr:uid="{00000000-0006-0000-1100-00005F000000}">
      <text>
        <r>
          <rPr>
            <b/>
            <sz val="9"/>
            <color indexed="81"/>
            <rFont val="Tahoma"/>
            <family val="2"/>
            <charset val="238"/>
          </rPr>
          <t>PŠ:</t>
        </r>
        <r>
          <rPr>
            <sz val="9"/>
            <color indexed="81"/>
            <rFont val="Tahoma"/>
            <family val="2"/>
            <charset val="238"/>
          </rPr>
          <t xml:space="preserve">
Škol sl. 17 ř. 0310.</t>
        </r>
      </text>
    </comment>
    <comment ref="S90" authorId="0" shapeId="0" xr:uid="{00000000-0006-0000-1100-000060000000}">
      <text>
        <r>
          <rPr>
            <b/>
            <sz val="9"/>
            <color indexed="81"/>
            <rFont val="Tahoma"/>
            <family val="2"/>
            <charset val="238"/>
          </rPr>
          <t>PŠ:</t>
        </r>
        <r>
          <rPr>
            <sz val="9"/>
            <color indexed="81"/>
            <rFont val="Tahoma"/>
            <family val="2"/>
            <charset val="238"/>
          </rPr>
          <t xml:space="preserve">
Škol sl. 12 ř. 0308.</t>
        </r>
      </text>
    </comment>
    <comment ref="T90" authorId="0" shapeId="0" xr:uid="{00000000-0006-0000-1100-000061000000}">
      <text>
        <r>
          <rPr>
            <b/>
            <sz val="9"/>
            <color indexed="81"/>
            <rFont val="Tahoma"/>
            <family val="2"/>
            <charset val="238"/>
          </rPr>
          <t>PŠ:</t>
        </r>
        <r>
          <rPr>
            <sz val="9"/>
            <color indexed="81"/>
            <rFont val="Tahoma"/>
            <family val="2"/>
            <charset val="238"/>
          </rPr>
          <t xml:space="preserve">
Škol sl. 17 ř. 0308.</t>
        </r>
      </text>
    </comment>
    <comment ref="U90" authorId="0" shapeId="0" xr:uid="{00000000-0006-0000-1100-000062000000}">
      <text>
        <r>
          <rPr>
            <b/>
            <sz val="9"/>
            <color indexed="81"/>
            <rFont val="Tahoma"/>
            <family val="2"/>
            <charset val="238"/>
          </rPr>
          <t>PŠ:</t>
        </r>
        <r>
          <rPr>
            <sz val="9"/>
            <color indexed="81"/>
            <rFont val="Tahoma"/>
            <family val="2"/>
            <charset val="238"/>
          </rPr>
          <t xml:space="preserve">
Škol sl. 12 ř. 0309.</t>
        </r>
      </text>
    </comment>
    <comment ref="V90" authorId="0" shapeId="0" xr:uid="{00000000-0006-0000-1100-000063000000}">
      <text>
        <r>
          <rPr>
            <b/>
            <sz val="9"/>
            <color indexed="81"/>
            <rFont val="Tahoma"/>
            <family val="2"/>
            <charset val="238"/>
          </rPr>
          <t>PŠ:</t>
        </r>
        <r>
          <rPr>
            <sz val="9"/>
            <color indexed="81"/>
            <rFont val="Tahoma"/>
            <family val="2"/>
            <charset val="238"/>
          </rPr>
          <t xml:space="preserve">
Škol sl. 17 ř. 0309.</t>
        </r>
      </text>
    </comment>
    <comment ref="W90" authorId="0" shapeId="0" xr:uid="{00000000-0006-0000-1100-000064000000}">
      <text>
        <r>
          <rPr>
            <b/>
            <sz val="9"/>
            <color indexed="81"/>
            <rFont val="Tahoma"/>
            <family val="2"/>
            <charset val="238"/>
          </rPr>
          <t>PŠ:</t>
        </r>
        <r>
          <rPr>
            <sz val="9"/>
            <color indexed="81"/>
            <rFont val="Tahoma"/>
            <family val="2"/>
            <charset val="238"/>
          </rPr>
          <t xml:space="preserve">
Škol sl. 12 ř. 0311.</t>
        </r>
      </text>
    </comment>
    <comment ref="X90" authorId="0" shapeId="0" xr:uid="{00000000-0006-0000-1100-000065000000}">
      <text>
        <r>
          <rPr>
            <b/>
            <sz val="9"/>
            <color indexed="81"/>
            <rFont val="Tahoma"/>
            <family val="2"/>
            <charset val="238"/>
          </rPr>
          <t>PŠ:</t>
        </r>
        <r>
          <rPr>
            <sz val="9"/>
            <color indexed="81"/>
            <rFont val="Tahoma"/>
            <family val="2"/>
            <charset val="238"/>
          </rPr>
          <t xml:space="preserve">
Škol sl. 17 ř. 0311.</t>
        </r>
      </text>
    </comment>
    <comment ref="K97" authorId="0" shapeId="0" xr:uid="{00000000-0006-0000-1100-000066000000}">
      <text>
        <r>
          <rPr>
            <b/>
            <sz val="9"/>
            <color indexed="81"/>
            <rFont val="Tahoma"/>
            <family val="2"/>
            <charset val="238"/>
          </rPr>
          <t>PŠ:</t>
        </r>
        <r>
          <rPr>
            <sz val="9"/>
            <color indexed="81"/>
            <rFont val="Tahoma"/>
            <family val="2"/>
            <charset val="238"/>
          </rPr>
          <t xml:space="preserve">
Škol sl. 2 ř. 0202.</t>
        </r>
      </text>
    </comment>
    <comment ref="L97" authorId="0" shapeId="0" xr:uid="{00000000-0006-0000-1100-000067000000}">
      <text>
        <r>
          <rPr>
            <b/>
            <sz val="9"/>
            <color indexed="81"/>
            <rFont val="Tahoma"/>
            <family val="2"/>
            <charset val="238"/>
          </rPr>
          <t>PŠ:</t>
        </r>
        <r>
          <rPr>
            <sz val="9"/>
            <color indexed="81"/>
            <rFont val="Tahoma"/>
            <family val="2"/>
            <charset val="238"/>
          </rPr>
          <t xml:space="preserve">
Škol sl. 12 ř. 0202.</t>
        </r>
      </text>
    </comment>
    <comment ref="K98" authorId="0" shapeId="0" xr:uid="{00000000-0006-0000-1100-000068000000}">
      <text>
        <r>
          <rPr>
            <b/>
            <sz val="9"/>
            <color indexed="81"/>
            <rFont val="Tahoma"/>
            <family val="2"/>
            <charset val="238"/>
          </rPr>
          <t>PŠ:</t>
        </r>
        <r>
          <rPr>
            <sz val="9"/>
            <color indexed="81"/>
            <rFont val="Tahoma"/>
            <family val="2"/>
            <charset val="238"/>
          </rPr>
          <t xml:space="preserve">
Škol. sl. 2 ř. 0203.</t>
        </r>
      </text>
    </comment>
    <comment ref="L98" authorId="0" shapeId="0" xr:uid="{00000000-0006-0000-1100-000069000000}">
      <text>
        <r>
          <rPr>
            <b/>
            <sz val="9"/>
            <color indexed="81"/>
            <rFont val="Tahoma"/>
            <family val="2"/>
            <charset val="238"/>
          </rPr>
          <t>PŠ:</t>
        </r>
        <r>
          <rPr>
            <sz val="9"/>
            <color indexed="81"/>
            <rFont val="Tahoma"/>
            <family val="2"/>
            <charset val="238"/>
          </rPr>
          <t xml:space="preserve">
Škol sl. 12 ř. 0203.</t>
        </r>
      </text>
    </comment>
    <comment ref="K99" authorId="0" shapeId="0" xr:uid="{00000000-0006-0000-1100-00006A000000}">
      <text>
        <r>
          <rPr>
            <b/>
            <sz val="9"/>
            <color indexed="81"/>
            <rFont val="Tahoma"/>
            <family val="2"/>
            <charset val="238"/>
          </rPr>
          <t>PŠ:</t>
        </r>
        <r>
          <rPr>
            <sz val="9"/>
            <color indexed="81"/>
            <rFont val="Tahoma"/>
            <family val="2"/>
            <charset val="238"/>
          </rPr>
          <t xml:space="preserve">
Škol sl. 2 ř. 0204.</t>
        </r>
      </text>
    </comment>
    <comment ref="L99" authorId="0" shapeId="0" xr:uid="{00000000-0006-0000-1100-00006B000000}">
      <text>
        <r>
          <rPr>
            <b/>
            <sz val="9"/>
            <color indexed="81"/>
            <rFont val="Tahoma"/>
            <family val="2"/>
            <charset val="238"/>
          </rPr>
          <t>PŠ:</t>
        </r>
        <r>
          <rPr>
            <sz val="9"/>
            <color indexed="81"/>
            <rFont val="Tahoma"/>
            <family val="2"/>
            <charset val="238"/>
          </rPr>
          <t xml:space="preserve">
Škol sl. 12 ř. 0204.</t>
        </r>
      </text>
    </comment>
    <comment ref="K100" authorId="0" shapeId="0" xr:uid="{00000000-0006-0000-1100-00006C000000}">
      <text>
        <r>
          <rPr>
            <b/>
            <sz val="9"/>
            <color indexed="81"/>
            <rFont val="Tahoma"/>
            <family val="2"/>
            <charset val="238"/>
          </rPr>
          <t>PŠ:</t>
        </r>
        <r>
          <rPr>
            <sz val="9"/>
            <color indexed="81"/>
            <rFont val="Tahoma"/>
            <family val="2"/>
            <charset val="238"/>
          </rPr>
          <t xml:space="preserve">
Škol sl. 2 ř. 0205.</t>
        </r>
      </text>
    </comment>
    <comment ref="L100" authorId="0" shapeId="0" xr:uid="{00000000-0006-0000-1100-00006D000000}">
      <text>
        <r>
          <rPr>
            <b/>
            <sz val="9"/>
            <color indexed="81"/>
            <rFont val="Tahoma"/>
            <family val="2"/>
            <charset val="238"/>
          </rPr>
          <t>PŠ:</t>
        </r>
        <r>
          <rPr>
            <sz val="9"/>
            <color indexed="81"/>
            <rFont val="Tahoma"/>
            <family val="2"/>
            <charset val="238"/>
          </rPr>
          <t xml:space="preserve">
Škol sl. 12 ř. 0205.</t>
        </r>
      </text>
    </comment>
    <comment ref="K101" authorId="0" shapeId="0" xr:uid="{00000000-0006-0000-1100-00006E000000}">
      <text>
        <r>
          <rPr>
            <b/>
            <sz val="9"/>
            <color indexed="81"/>
            <rFont val="Tahoma"/>
            <family val="2"/>
            <charset val="238"/>
          </rPr>
          <t>PŠ:</t>
        </r>
        <r>
          <rPr>
            <sz val="9"/>
            <color indexed="81"/>
            <rFont val="Tahoma"/>
            <family val="2"/>
            <charset val="238"/>
          </rPr>
          <t xml:space="preserve">
Škol sl. 2 ř. 0206.</t>
        </r>
      </text>
    </comment>
    <comment ref="L101" authorId="0" shapeId="0" xr:uid="{00000000-0006-0000-1100-00006F000000}">
      <text>
        <r>
          <rPr>
            <b/>
            <sz val="9"/>
            <color indexed="81"/>
            <rFont val="Tahoma"/>
            <family val="2"/>
            <charset val="238"/>
          </rPr>
          <t>PŠ:</t>
        </r>
        <r>
          <rPr>
            <sz val="9"/>
            <color indexed="81"/>
            <rFont val="Tahoma"/>
            <family val="2"/>
            <charset val="238"/>
          </rPr>
          <t xml:space="preserve">
Škol sl. 12 ř. 0206.</t>
        </r>
      </text>
    </comment>
    <comment ref="K102" authorId="0" shapeId="0" xr:uid="{00000000-0006-0000-1100-000070000000}">
      <text>
        <r>
          <rPr>
            <b/>
            <sz val="9"/>
            <color indexed="81"/>
            <rFont val="Tahoma"/>
            <family val="2"/>
            <charset val="238"/>
          </rPr>
          <t>PŠ:</t>
        </r>
        <r>
          <rPr>
            <sz val="9"/>
            <color indexed="81"/>
            <rFont val="Tahoma"/>
            <family val="2"/>
            <charset val="238"/>
          </rPr>
          <t xml:space="preserve">
Škol sl. 2 ř. 0201.</t>
        </r>
      </text>
    </comment>
    <comment ref="L102" authorId="0" shapeId="0" xr:uid="{00000000-0006-0000-1100-000071000000}">
      <text>
        <r>
          <rPr>
            <b/>
            <sz val="9"/>
            <color indexed="81"/>
            <rFont val="Tahoma"/>
            <family val="2"/>
            <charset val="238"/>
          </rPr>
          <t>PŠ:</t>
        </r>
        <r>
          <rPr>
            <sz val="9"/>
            <color indexed="81"/>
            <rFont val="Tahoma"/>
            <family val="2"/>
            <charset val="238"/>
          </rPr>
          <t xml:space="preserve">
Škol sl. 12 ř. 0201.</t>
        </r>
      </text>
    </comment>
    <comment ref="E103" authorId="0" shapeId="0" xr:uid="{00000000-0006-0000-1100-000072000000}">
      <text>
        <r>
          <rPr>
            <b/>
            <sz val="9"/>
            <color indexed="81"/>
            <rFont val="Tahoma"/>
            <family val="2"/>
            <charset val="238"/>
          </rPr>
          <t>PŠ:</t>
        </r>
        <r>
          <rPr>
            <sz val="9"/>
            <color indexed="81"/>
            <rFont val="Tahoma"/>
            <family val="2"/>
            <charset val="238"/>
          </rPr>
          <t xml:space="preserve">
Škol sl. 2b ř. 0200.</t>
        </r>
      </text>
    </comment>
    <comment ref="F103" authorId="0" shapeId="0" xr:uid="{00000000-0006-0000-1100-000073000000}">
      <text>
        <r>
          <rPr>
            <b/>
            <sz val="9"/>
            <color indexed="81"/>
            <rFont val="Tahoma"/>
            <family val="2"/>
            <charset val="238"/>
          </rPr>
          <t>PŠ:</t>
        </r>
        <r>
          <rPr>
            <sz val="9"/>
            <color indexed="81"/>
            <rFont val="Tahoma"/>
            <family val="2"/>
            <charset val="238"/>
          </rPr>
          <t xml:space="preserve">
Škol sl. 12b ř. 0200.</t>
        </r>
      </text>
    </comment>
    <comment ref="K103" authorId="0" shapeId="0" xr:uid="{00000000-0006-0000-1100-000074000000}">
      <text>
        <r>
          <rPr>
            <b/>
            <sz val="9"/>
            <color indexed="81"/>
            <rFont val="Tahoma"/>
            <family val="2"/>
            <charset val="238"/>
          </rPr>
          <t>PŠ:</t>
        </r>
        <r>
          <rPr>
            <sz val="9"/>
            <color indexed="81"/>
            <rFont val="Tahoma"/>
            <family val="2"/>
            <charset val="238"/>
          </rPr>
          <t xml:space="preserve">
Škol sl. 2 ř. 0200.</t>
        </r>
      </text>
    </comment>
    <comment ref="L103" authorId="0" shapeId="0" xr:uid="{00000000-0006-0000-1100-000075000000}">
      <text>
        <r>
          <rPr>
            <b/>
            <sz val="9"/>
            <color indexed="81"/>
            <rFont val="Tahoma"/>
            <family val="2"/>
            <charset val="238"/>
          </rPr>
          <t>PŠ:</t>
        </r>
        <r>
          <rPr>
            <sz val="9"/>
            <color indexed="81"/>
            <rFont val="Tahoma"/>
            <family val="2"/>
            <charset val="238"/>
          </rPr>
          <t xml:space="preserve">
Škol sl. 12 ř. 0200.</t>
        </r>
      </text>
    </comment>
    <comment ref="K104" authorId="0" shapeId="0" xr:uid="{00000000-0006-0000-1100-000076000000}">
      <text>
        <r>
          <rPr>
            <b/>
            <sz val="9"/>
            <color indexed="81"/>
            <rFont val="Tahoma"/>
            <family val="2"/>
            <charset val="238"/>
          </rPr>
          <t>PŠ:</t>
        </r>
        <r>
          <rPr>
            <sz val="9"/>
            <color indexed="81"/>
            <rFont val="Tahoma"/>
            <family val="2"/>
            <charset val="238"/>
          </rPr>
          <t xml:space="preserve">
Škol sl. 2 ř. 0207.</t>
        </r>
      </text>
    </comment>
    <comment ref="L104" authorId="0" shapeId="0" xr:uid="{00000000-0006-0000-1100-000077000000}">
      <text>
        <r>
          <rPr>
            <b/>
            <sz val="9"/>
            <color indexed="81"/>
            <rFont val="Tahoma"/>
            <family val="2"/>
            <charset val="238"/>
          </rPr>
          <t>PŠ:</t>
        </r>
        <r>
          <rPr>
            <sz val="9"/>
            <color indexed="81"/>
            <rFont val="Tahoma"/>
            <family val="2"/>
            <charset val="238"/>
          </rPr>
          <t xml:space="preserve">
Škol sl. 12 ř. 0207.</t>
        </r>
      </text>
    </comment>
    <comment ref="E108" authorId="0" shapeId="0" xr:uid="{00000000-0006-0000-1100-000078000000}">
      <text>
        <r>
          <rPr>
            <b/>
            <sz val="9"/>
            <color indexed="81"/>
            <rFont val="Tahoma"/>
            <family val="2"/>
            <charset val="238"/>
          </rPr>
          <t>PŠ:</t>
        </r>
        <r>
          <rPr>
            <sz val="9"/>
            <color indexed="81"/>
            <rFont val="Tahoma"/>
            <family val="2"/>
            <charset val="238"/>
          </rPr>
          <t xml:space="preserve">
Škol sl. 2 ř. 0307.</t>
        </r>
      </text>
    </comment>
    <comment ref="F108" authorId="0" shapeId="0" xr:uid="{00000000-0006-0000-1100-000079000000}">
      <text>
        <r>
          <rPr>
            <b/>
            <sz val="9"/>
            <color indexed="81"/>
            <rFont val="Tahoma"/>
            <family val="2"/>
            <charset val="238"/>
          </rPr>
          <t>PŠ:</t>
        </r>
        <r>
          <rPr>
            <sz val="9"/>
            <color indexed="81"/>
            <rFont val="Tahoma"/>
            <family val="2"/>
            <charset val="238"/>
          </rPr>
          <t xml:space="preserve">
Škol sl. 12 ř. 0307.</t>
        </r>
      </text>
    </comment>
    <comment ref="K108" authorId="0" shapeId="0" xr:uid="{00000000-0006-0000-1100-00007A000000}">
      <text>
        <r>
          <rPr>
            <b/>
            <sz val="9"/>
            <color indexed="81"/>
            <rFont val="Tahoma"/>
            <family val="2"/>
            <charset val="238"/>
          </rPr>
          <t>PŠ:</t>
        </r>
        <r>
          <rPr>
            <sz val="9"/>
            <color indexed="81"/>
            <rFont val="Tahoma"/>
            <family val="2"/>
            <charset val="238"/>
          </rPr>
          <t xml:space="preserve">
Škol sl. 2 ř. 0311.</t>
        </r>
      </text>
    </comment>
    <comment ref="L108" authorId="0" shapeId="0" xr:uid="{00000000-0006-0000-1100-00007B000000}">
      <text>
        <r>
          <rPr>
            <b/>
            <sz val="9"/>
            <color indexed="81"/>
            <rFont val="Tahoma"/>
            <family val="2"/>
            <charset val="238"/>
          </rPr>
          <t>PŠ:</t>
        </r>
        <r>
          <rPr>
            <sz val="9"/>
            <color indexed="81"/>
            <rFont val="Tahoma"/>
            <family val="2"/>
            <charset val="238"/>
          </rPr>
          <t xml:space="preserve">
Škol sl. 12 ř. 0311.</t>
        </r>
      </text>
    </comment>
  </commentList>
</comments>
</file>

<file path=xl/sharedStrings.xml><?xml version="1.0" encoding="utf-8"?>
<sst xmlns="http://schemas.openxmlformats.org/spreadsheetml/2006/main" count="3207" uniqueCount="1394">
  <si>
    <t>AKTIVA</t>
  </si>
  <si>
    <t xml:space="preserve">A.Dlouhodobý majetek celkem            </t>
  </si>
  <si>
    <t>0001</t>
  </si>
  <si>
    <t xml:space="preserve">   I. Dlouhodobý nehmotný majetek celkem             </t>
  </si>
  <si>
    <t>ř.3 až 9</t>
  </si>
  <si>
    <t>0002</t>
  </si>
  <si>
    <t xml:space="preserve">                    1.Nehmotné výsledky výzkumu a vývoje</t>
  </si>
  <si>
    <t>012</t>
  </si>
  <si>
    <t>0003</t>
  </si>
  <si>
    <t xml:space="preserve">                    2.Software</t>
  </si>
  <si>
    <t>013</t>
  </si>
  <si>
    <t>0004</t>
  </si>
  <si>
    <t xml:space="preserve">                    3.Ocenitelná práva</t>
  </si>
  <si>
    <t>014</t>
  </si>
  <si>
    <t>0005</t>
  </si>
  <si>
    <t xml:space="preserve">                    4.Drobný dlouhodobý nehmotný majetek</t>
  </si>
  <si>
    <t>018</t>
  </si>
  <si>
    <t>0006</t>
  </si>
  <si>
    <t xml:space="preserve">                    5.Ostatní dlouhodobý nehmotný majetek</t>
  </si>
  <si>
    <t>019</t>
  </si>
  <si>
    <t>0007</t>
  </si>
  <si>
    <t xml:space="preserve">                    6.Nedokončený dlouhodobý nehmotný majetek</t>
  </si>
  <si>
    <t>041</t>
  </si>
  <si>
    <t>0008</t>
  </si>
  <si>
    <t xml:space="preserve">                    7.Poskytnuté zálohy na dlouhodobý nehmotný majetek</t>
  </si>
  <si>
    <t>051</t>
  </si>
  <si>
    <t>0009</t>
  </si>
  <si>
    <t xml:space="preserve">    II. Dlouhodobý hmotný majetek celkem            </t>
  </si>
  <si>
    <t>ř.11 až 20</t>
  </si>
  <si>
    <t>0010</t>
  </si>
  <si>
    <t xml:space="preserve">                    1.Pozemky</t>
  </si>
  <si>
    <t>031</t>
  </si>
  <si>
    <t>0011</t>
  </si>
  <si>
    <t>032</t>
  </si>
  <si>
    <t>0012</t>
  </si>
  <si>
    <t xml:space="preserve">                    3.Stavby</t>
  </si>
  <si>
    <t>021</t>
  </si>
  <si>
    <t>0013</t>
  </si>
  <si>
    <t>022</t>
  </si>
  <si>
    <t>0014</t>
  </si>
  <si>
    <t xml:space="preserve">                    5.Pěstitelské celky trvalých porostů</t>
  </si>
  <si>
    <t>025</t>
  </si>
  <si>
    <t>0015</t>
  </si>
  <si>
    <t>026</t>
  </si>
  <si>
    <t>0016</t>
  </si>
  <si>
    <t xml:space="preserve">                    7.Drobný dlouhodobý hmotný majetek</t>
  </si>
  <si>
    <t>028</t>
  </si>
  <si>
    <t>0017</t>
  </si>
  <si>
    <t xml:space="preserve">                    8.Ostatní dlouhodobý hmotný majetek</t>
  </si>
  <si>
    <t>029</t>
  </si>
  <si>
    <t>0018</t>
  </si>
  <si>
    <t xml:space="preserve">                    9.Nedokončený dlouhodobý hmotný majetek</t>
  </si>
  <si>
    <t>042</t>
  </si>
  <si>
    <t>0019</t>
  </si>
  <si>
    <t xml:space="preserve">                  10.Poskytnuté zálohy na dlouhodobý hnotný majetek</t>
  </si>
  <si>
    <t>052</t>
  </si>
  <si>
    <t>0020</t>
  </si>
  <si>
    <t xml:space="preserve">    III. Dlouhodobý finanční majetek celkem            </t>
  </si>
  <si>
    <t>0021</t>
  </si>
  <si>
    <t>061</t>
  </si>
  <si>
    <t>0022</t>
  </si>
  <si>
    <t>062</t>
  </si>
  <si>
    <t>0023</t>
  </si>
  <si>
    <t xml:space="preserve">                    3.Dluhové cenné papíry držené do splatnosti</t>
  </si>
  <si>
    <t>063</t>
  </si>
  <si>
    <t>0024</t>
  </si>
  <si>
    <t>066</t>
  </si>
  <si>
    <t>0025</t>
  </si>
  <si>
    <t>067</t>
  </si>
  <si>
    <t>0026</t>
  </si>
  <si>
    <t xml:space="preserve">                    6.Ostatní dlouhodobý finanční majetek</t>
  </si>
  <si>
    <t>069</t>
  </si>
  <si>
    <t>0027</t>
  </si>
  <si>
    <t>0028</t>
  </si>
  <si>
    <t xml:space="preserve">    IV. Oprávky k dlouhodobému majetku celkem    </t>
  </si>
  <si>
    <t>0029</t>
  </si>
  <si>
    <t xml:space="preserve">                    1.Oprávky k nehmotným výsledkům výzkumu a vývoje</t>
  </si>
  <si>
    <t>072</t>
  </si>
  <si>
    <t>0030</t>
  </si>
  <si>
    <t xml:space="preserve">                    2.Oprávky k softwaru</t>
  </si>
  <si>
    <t>073</t>
  </si>
  <si>
    <t>0031</t>
  </si>
  <si>
    <t xml:space="preserve">                    3.Oprávky k ocenitelným právům</t>
  </si>
  <si>
    <t>074</t>
  </si>
  <si>
    <t>0032</t>
  </si>
  <si>
    <t>078</t>
  </si>
  <si>
    <t>0033</t>
  </si>
  <si>
    <t>079</t>
  </si>
  <si>
    <t>0034</t>
  </si>
  <si>
    <t xml:space="preserve">                    6.Oprávky ke stavbám</t>
  </si>
  <si>
    <t>081</t>
  </si>
  <si>
    <t>0035</t>
  </si>
  <si>
    <t>082</t>
  </si>
  <si>
    <t>0036</t>
  </si>
  <si>
    <t xml:space="preserve">                    8.Oprávky k pěstitelským celkům trvalých porostů</t>
  </si>
  <si>
    <t>085</t>
  </si>
  <si>
    <t>0037</t>
  </si>
  <si>
    <t xml:space="preserve">                    9.Oprávky k základnímu stádu a tažným zvířatům</t>
  </si>
  <si>
    <t>086</t>
  </si>
  <si>
    <t>0038</t>
  </si>
  <si>
    <t>088</t>
  </si>
  <si>
    <t>0039</t>
  </si>
  <si>
    <t>089</t>
  </si>
  <si>
    <t>0040</t>
  </si>
  <si>
    <t xml:space="preserve">B. Krátkodobý majetek celkem                    </t>
  </si>
  <si>
    <t>0041</t>
  </si>
  <si>
    <t xml:space="preserve">    I. Zásoby celkem                                          </t>
  </si>
  <si>
    <t>0042</t>
  </si>
  <si>
    <t xml:space="preserve">                    1.Materiál na skladě</t>
  </si>
  <si>
    <t>112</t>
  </si>
  <si>
    <t>0043</t>
  </si>
  <si>
    <t xml:space="preserve">                    2.Materiál na cestě</t>
  </si>
  <si>
    <t>119</t>
  </si>
  <si>
    <t>0044</t>
  </si>
  <si>
    <t xml:space="preserve">                    3.Nedokončená výroba</t>
  </si>
  <si>
    <t>121</t>
  </si>
  <si>
    <t>0045</t>
  </si>
  <si>
    <t xml:space="preserve">                    4.Polotovary vlastní výroby</t>
  </si>
  <si>
    <t>122</t>
  </si>
  <si>
    <t>0046</t>
  </si>
  <si>
    <t xml:space="preserve">                    5.Výrobky</t>
  </si>
  <si>
    <t>123</t>
  </si>
  <si>
    <t>0047</t>
  </si>
  <si>
    <t>124</t>
  </si>
  <si>
    <t>0048</t>
  </si>
  <si>
    <t xml:space="preserve">                    7.Zboží na skladě a v prodejnách</t>
  </si>
  <si>
    <t>132</t>
  </si>
  <si>
    <t>0049</t>
  </si>
  <si>
    <t xml:space="preserve">                    8.Zboží na cestě</t>
  </si>
  <si>
    <t>139</t>
  </si>
  <si>
    <t>0050</t>
  </si>
  <si>
    <t xml:space="preserve">                    9.Poskytnuté zálohy na zásoby</t>
  </si>
  <si>
    <t>z 314</t>
  </si>
  <si>
    <t>0051</t>
  </si>
  <si>
    <t xml:space="preserve">   II. Pohledávky celkem                                       </t>
  </si>
  <si>
    <t>0052</t>
  </si>
  <si>
    <t xml:space="preserve">                    1.Odběratelé</t>
  </si>
  <si>
    <t>311</t>
  </si>
  <si>
    <t>0053</t>
  </si>
  <si>
    <t xml:space="preserve">                    2.Směnky k inkasu</t>
  </si>
  <si>
    <t>312</t>
  </si>
  <si>
    <t>0054</t>
  </si>
  <si>
    <t xml:space="preserve">                    3.Pohledávky za eskontované cenné papíry</t>
  </si>
  <si>
    <t>313</t>
  </si>
  <si>
    <t>0055</t>
  </si>
  <si>
    <t xml:space="preserve">                    4.Poskytnuté provozní zálohy</t>
  </si>
  <si>
    <t>0056</t>
  </si>
  <si>
    <t xml:space="preserve">                    5.Ostatní pohledávky</t>
  </si>
  <si>
    <t>315</t>
  </si>
  <si>
    <t>0057</t>
  </si>
  <si>
    <t xml:space="preserve">                    6.Pohledávky za zaměstnanci</t>
  </si>
  <si>
    <t>335</t>
  </si>
  <si>
    <t>0058</t>
  </si>
  <si>
    <t>336</t>
  </si>
  <si>
    <t>0059</t>
  </si>
  <si>
    <t xml:space="preserve">                    8.Daň z příjmů</t>
  </si>
  <si>
    <t>341</t>
  </si>
  <si>
    <t>0060</t>
  </si>
  <si>
    <t xml:space="preserve">                    9.Ostatní přímé daně</t>
  </si>
  <si>
    <t>342</t>
  </si>
  <si>
    <t>0061</t>
  </si>
  <si>
    <t xml:space="preserve">                   10.Daň z přidané hodnoty</t>
  </si>
  <si>
    <t>343</t>
  </si>
  <si>
    <t>0062</t>
  </si>
  <si>
    <t xml:space="preserve">                   11.Ostatní daně a poplatky</t>
  </si>
  <si>
    <t>345</t>
  </si>
  <si>
    <t>0063</t>
  </si>
  <si>
    <t>346</t>
  </si>
  <si>
    <t>0064</t>
  </si>
  <si>
    <t>348</t>
  </si>
  <si>
    <t>0065</t>
  </si>
  <si>
    <t>358</t>
  </si>
  <si>
    <t>0066</t>
  </si>
  <si>
    <t>373</t>
  </si>
  <si>
    <t>0067</t>
  </si>
  <si>
    <t>375</t>
  </si>
  <si>
    <t>0068</t>
  </si>
  <si>
    <t xml:space="preserve">                   17.Jiné pohledávky</t>
  </si>
  <si>
    <t>378</t>
  </si>
  <si>
    <t>0069</t>
  </si>
  <si>
    <t xml:space="preserve">                   18.Dohadné účty aktivní</t>
  </si>
  <si>
    <t>388</t>
  </si>
  <si>
    <t>0070</t>
  </si>
  <si>
    <t xml:space="preserve">                   19.Opravná položka k pohledávkám</t>
  </si>
  <si>
    <t>391</t>
  </si>
  <si>
    <t>0071</t>
  </si>
  <si>
    <t xml:space="preserve">   III. Krátkodobý finanční majetek celkem             </t>
  </si>
  <si>
    <t>0072</t>
  </si>
  <si>
    <t>211</t>
  </si>
  <si>
    <t>0073</t>
  </si>
  <si>
    <t xml:space="preserve">                     2.Ceniny</t>
  </si>
  <si>
    <t>213</t>
  </si>
  <si>
    <t>0074</t>
  </si>
  <si>
    <t>221</t>
  </si>
  <si>
    <t>0075</t>
  </si>
  <si>
    <t xml:space="preserve">                     4.Majetkové cenné papíry k obchodování</t>
  </si>
  <si>
    <t>251</t>
  </si>
  <si>
    <t>0076</t>
  </si>
  <si>
    <t xml:space="preserve">                     5.Dluhové cenné papíry k obchodování</t>
  </si>
  <si>
    <t>253</t>
  </si>
  <si>
    <t>0077</t>
  </si>
  <si>
    <t xml:space="preserve">                     6.Ostatní cenné papíry</t>
  </si>
  <si>
    <t>256</t>
  </si>
  <si>
    <t>0078</t>
  </si>
  <si>
    <t>0079</t>
  </si>
  <si>
    <t>261</t>
  </si>
  <si>
    <t>0080</t>
  </si>
  <si>
    <t xml:space="preserve">    IV. Jiná aktiva celkem                                    </t>
  </si>
  <si>
    <t>0081</t>
  </si>
  <si>
    <t xml:space="preserve">                     1.Náklady příštích období</t>
  </si>
  <si>
    <t>381</t>
  </si>
  <si>
    <t>0082</t>
  </si>
  <si>
    <t xml:space="preserve">                     2.Příjmy příštích období</t>
  </si>
  <si>
    <t>385</t>
  </si>
  <si>
    <t>0083</t>
  </si>
  <si>
    <t>0084</t>
  </si>
  <si>
    <t xml:space="preserve">Aktiva celkem                                                        </t>
  </si>
  <si>
    <t>0085</t>
  </si>
  <si>
    <t xml:space="preserve">PASIVA  </t>
  </si>
  <si>
    <t xml:space="preserve"> </t>
  </si>
  <si>
    <t xml:space="preserve">A. Vlastní zdroje celkem                                       </t>
  </si>
  <si>
    <t>0086</t>
  </si>
  <si>
    <t xml:space="preserve">     I. Jmění celkem                                          </t>
  </si>
  <si>
    <t>0087</t>
  </si>
  <si>
    <t xml:space="preserve">                     1.Vlastní jmění</t>
  </si>
  <si>
    <t>901</t>
  </si>
  <si>
    <t>0088</t>
  </si>
  <si>
    <t xml:space="preserve">                     2.Fondy</t>
  </si>
  <si>
    <t>911</t>
  </si>
  <si>
    <t>0089</t>
  </si>
  <si>
    <t xml:space="preserve">                     3.Oceňovací rozdíly z přecenění finančního majetku a závazků</t>
  </si>
  <si>
    <t>921</t>
  </si>
  <si>
    <t>0090</t>
  </si>
  <si>
    <t>0091</t>
  </si>
  <si>
    <t xml:space="preserve">                     1.Účet výsledku hospodaření</t>
  </si>
  <si>
    <t>963</t>
  </si>
  <si>
    <t>0092</t>
  </si>
  <si>
    <t xml:space="preserve">                     2.Výsledek hospodaření ve schvalovacím řízení</t>
  </si>
  <si>
    <t>931</t>
  </si>
  <si>
    <t>0093</t>
  </si>
  <si>
    <t>932</t>
  </si>
  <si>
    <t>0094</t>
  </si>
  <si>
    <t xml:space="preserve">B. Cizí zdroje celkem                              </t>
  </si>
  <si>
    <t>0095</t>
  </si>
  <si>
    <t xml:space="preserve">     I. Rezervy celkem                                                </t>
  </si>
  <si>
    <t>0096</t>
  </si>
  <si>
    <t xml:space="preserve">                     1.Rezervy</t>
  </si>
  <si>
    <t>941</t>
  </si>
  <si>
    <t>0097</t>
  </si>
  <si>
    <t xml:space="preserve">     II. Dlouhodobé závazky celkem                   </t>
  </si>
  <si>
    <t>0098</t>
  </si>
  <si>
    <t>951</t>
  </si>
  <si>
    <t>0099</t>
  </si>
  <si>
    <t>953</t>
  </si>
  <si>
    <t>0100</t>
  </si>
  <si>
    <t xml:space="preserve">                     3.Závazky z pronájmu</t>
  </si>
  <si>
    <t>954</t>
  </si>
  <si>
    <t>0101</t>
  </si>
  <si>
    <t xml:space="preserve">                     4.Přijaté dlouhodobé zálohy</t>
  </si>
  <si>
    <t>955</t>
  </si>
  <si>
    <t>0102</t>
  </si>
  <si>
    <t xml:space="preserve">                     5.Dlouhodobé směnky k úhradě</t>
  </si>
  <si>
    <t>958</t>
  </si>
  <si>
    <t>0103</t>
  </si>
  <si>
    <t xml:space="preserve">                     6.Dohadné účty pasivní</t>
  </si>
  <si>
    <t>z389</t>
  </si>
  <si>
    <t>0104</t>
  </si>
  <si>
    <t xml:space="preserve">                     7.Ostatní dlouhodobé závazky</t>
  </si>
  <si>
    <t>959</t>
  </si>
  <si>
    <t>0105</t>
  </si>
  <si>
    <t xml:space="preserve">    III. Krátkodobé závazky celkem                   </t>
  </si>
  <si>
    <t>0106</t>
  </si>
  <si>
    <t xml:space="preserve">                     1.Dodavatelé</t>
  </si>
  <si>
    <t>321</t>
  </si>
  <si>
    <t>0107</t>
  </si>
  <si>
    <t xml:space="preserve">                     2.Směnky k úhradě</t>
  </si>
  <si>
    <t>322</t>
  </si>
  <si>
    <t>0108</t>
  </si>
  <si>
    <t xml:space="preserve">                     3.Přijaté zálohy</t>
  </si>
  <si>
    <t>324</t>
  </si>
  <si>
    <t>0109</t>
  </si>
  <si>
    <t xml:space="preserve">                     4.Ostatní závazky</t>
  </si>
  <si>
    <t>325</t>
  </si>
  <si>
    <t>0110</t>
  </si>
  <si>
    <t xml:space="preserve">                     5.Zaměstnanci</t>
  </si>
  <si>
    <t>331</t>
  </si>
  <si>
    <t>0111</t>
  </si>
  <si>
    <t xml:space="preserve">                     6.Ostatní závazky vůči zaměstnancům</t>
  </si>
  <si>
    <t>333</t>
  </si>
  <si>
    <t>0112</t>
  </si>
  <si>
    <t>0113</t>
  </si>
  <si>
    <t xml:space="preserve">                     8.Daň z příjmu</t>
  </si>
  <si>
    <t>0114</t>
  </si>
  <si>
    <t xml:space="preserve">                     9.Ostatní přímé daně</t>
  </si>
  <si>
    <t>0115</t>
  </si>
  <si>
    <t xml:space="preserve">                    10.Daň z přidané hodnoty</t>
  </si>
  <si>
    <t>0116</t>
  </si>
  <si>
    <t xml:space="preserve">                    11.Ostatní daně a poplatky</t>
  </si>
  <si>
    <t>0117</t>
  </si>
  <si>
    <t xml:space="preserve">                    12.Závazky ze vztahu ke státnímu rozpočtu</t>
  </si>
  <si>
    <t>0118</t>
  </si>
  <si>
    <t>0119</t>
  </si>
  <si>
    <t>367</t>
  </si>
  <si>
    <t>0120</t>
  </si>
  <si>
    <t>368</t>
  </si>
  <si>
    <t>0121</t>
  </si>
  <si>
    <t xml:space="preserve">                    16.Závazky z pevných termínovaných operací a opcí</t>
  </si>
  <si>
    <t>0122</t>
  </si>
  <si>
    <t xml:space="preserve">                    17.Jiné závazky</t>
  </si>
  <si>
    <t>379</t>
  </si>
  <si>
    <t>0123</t>
  </si>
  <si>
    <t>231</t>
  </si>
  <si>
    <t>0124</t>
  </si>
  <si>
    <t xml:space="preserve">                    19.Eskontní úvěry</t>
  </si>
  <si>
    <t>232</t>
  </si>
  <si>
    <t>0125</t>
  </si>
  <si>
    <t>241</t>
  </si>
  <si>
    <t>0126</t>
  </si>
  <si>
    <t xml:space="preserve">                    21.Vlastní dluhopisy</t>
  </si>
  <si>
    <t>255</t>
  </si>
  <si>
    <t>0127</t>
  </si>
  <si>
    <t xml:space="preserve">                    22.Dohadné účty pasivní</t>
  </si>
  <si>
    <t>0128</t>
  </si>
  <si>
    <t xml:space="preserve">                    23.Ostatní krátkodobé finanční výpomoci</t>
  </si>
  <si>
    <t>249</t>
  </si>
  <si>
    <t>0129</t>
  </si>
  <si>
    <t xml:space="preserve">    IV. Jiná pasiva celkem                                </t>
  </si>
  <si>
    <t>0130</t>
  </si>
  <si>
    <t xml:space="preserve">                      1.Výdaje příštích období</t>
  </si>
  <si>
    <t>383</t>
  </si>
  <si>
    <t xml:space="preserve">                      2.Výnosy příštích období</t>
  </si>
  <si>
    <t>384</t>
  </si>
  <si>
    <t xml:space="preserve">Pasiva celkem                                                    </t>
  </si>
  <si>
    <t>A. Náklady</t>
  </si>
  <si>
    <t xml:space="preserve">     VII.Poskytnuté příspěvky celkem</t>
  </si>
  <si>
    <t xml:space="preserve">     VIII.Daň z příjmů celkem</t>
  </si>
  <si>
    <t>Náklady celkem</t>
  </si>
  <si>
    <t>B. Výnosy</t>
  </si>
  <si>
    <t>Výnosy celkem</t>
  </si>
  <si>
    <t>C. Výsledek hospodaření před zdaněním</t>
  </si>
  <si>
    <t>D. Výsledek hospodaření po zdanění</t>
  </si>
  <si>
    <t>č.ř.</t>
  </si>
  <si>
    <t>použito</t>
  </si>
  <si>
    <t xml:space="preserve">v tom: </t>
  </si>
  <si>
    <t xml:space="preserve">ostatní </t>
  </si>
  <si>
    <t>ostatní</t>
  </si>
  <si>
    <t>tvorba</t>
  </si>
  <si>
    <t>čerpání</t>
  </si>
  <si>
    <t xml:space="preserve">  (+)</t>
  </si>
  <si>
    <t>Fond rezervní</t>
  </si>
  <si>
    <t>Fond reprodukce investičního majetku</t>
  </si>
  <si>
    <t>Stipendijní fond</t>
  </si>
  <si>
    <t>Fond odměn</t>
  </si>
  <si>
    <t>Fond účelově určených prostředků</t>
  </si>
  <si>
    <t>Fond sociální</t>
  </si>
  <si>
    <t>Fond provozních prostředků</t>
  </si>
  <si>
    <t>z toho:</t>
  </si>
  <si>
    <t>na jednotlivé projekty VaV či výzkumné záměry</t>
  </si>
  <si>
    <t>jiné podpory z veřejných prostředků</t>
  </si>
  <si>
    <t xml:space="preserve">Celkem </t>
  </si>
  <si>
    <t>Celkem</t>
  </si>
  <si>
    <t>Doplňková činnost</t>
  </si>
  <si>
    <t>z toho</t>
  </si>
  <si>
    <t>pozemky</t>
  </si>
  <si>
    <t>budovy, stavby, haly</t>
  </si>
  <si>
    <t>Položka</t>
  </si>
  <si>
    <t>poplatky za úkony spojené s příjímacím řízením (§ 58 odst. 1)</t>
  </si>
  <si>
    <t>mzdy</t>
  </si>
  <si>
    <t>Ukazatel</t>
  </si>
  <si>
    <t>KaM</t>
  </si>
  <si>
    <t>vědečtí pracovníci</t>
  </si>
  <si>
    <t>celkem</t>
  </si>
  <si>
    <t>Stav k 1.1.</t>
  </si>
  <si>
    <t>Stav k 31.12.</t>
  </si>
  <si>
    <t>Tvorba</t>
  </si>
  <si>
    <t>z fondu reprodukce inv. majetku</t>
  </si>
  <si>
    <t>z fondu odměn</t>
  </si>
  <si>
    <t>z fondu provozních prostředků</t>
  </si>
  <si>
    <t>Čerpání</t>
  </si>
  <si>
    <t>krytí ztrát minulých účetních období</t>
  </si>
  <si>
    <t>do fondu reprodukce inv. majetku</t>
  </si>
  <si>
    <t>do fondu odměn</t>
  </si>
  <si>
    <t>do fondu provozních prostředků</t>
  </si>
  <si>
    <t>z odpisů</t>
  </si>
  <si>
    <t xml:space="preserve">ze zůstatku příspěvku </t>
  </si>
  <si>
    <t>Převod z fondů celkem</t>
  </si>
  <si>
    <t>v tom: z fondu odměn</t>
  </si>
  <si>
    <t xml:space="preserve">            z fondu provozních prostředků</t>
  </si>
  <si>
    <t xml:space="preserve">            z rezervního fondu</t>
  </si>
  <si>
    <t xml:space="preserve">            stroje a zařízení</t>
  </si>
  <si>
    <t xml:space="preserve">            nákupy nemovitostí</t>
  </si>
  <si>
    <t>Převod do fondů celkem</t>
  </si>
  <si>
    <t>v tom: do fondu odměn</t>
  </si>
  <si>
    <t xml:space="preserve">            do fondu provozních prostředků</t>
  </si>
  <si>
    <t xml:space="preserve">            do rezervního fondu</t>
  </si>
  <si>
    <t>daňově uznatelné výdaje podle zák. 586/1992 Sb. o daních z příjmů</t>
  </si>
  <si>
    <t xml:space="preserve">Stav k 31.12. </t>
  </si>
  <si>
    <t>z rezervního fondu</t>
  </si>
  <si>
    <t>do rezervního fondu</t>
  </si>
  <si>
    <t>Neinvestice</t>
  </si>
  <si>
    <t xml:space="preserve">Tvorba </t>
  </si>
  <si>
    <t xml:space="preserve">Čerpání </t>
  </si>
  <si>
    <t>Příděl podle § 18 odst. 12 zák. č. 111/1998 Sb.</t>
  </si>
  <si>
    <t>ze zůstatku příspěvku</t>
  </si>
  <si>
    <t>na provozní náklady dle vnitřního předpisu VŠ</t>
  </si>
  <si>
    <t>a</t>
  </si>
  <si>
    <t>b</t>
  </si>
  <si>
    <t>c</t>
  </si>
  <si>
    <t>d</t>
  </si>
  <si>
    <t>e</t>
  </si>
  <si>
    <t>f</t>
  </si>
  <si>
    <t>g</t>
  </si>
  <si>
    <t>h</t>
  </si>
  <si>
    <t>i</t>
  </si>
  <si>
    <t>j</t>
  </si>
  <si>
    <t>za vynikající studijní výsledky dle § 91 odst. 2 písm. a)</t>
  </si>
  <si>
    <t>za vynikající vědecké, výzkumné, vývojové, umělecké nebo další tvůrčí výsledky přispívající k prohloubení znalostí dle § 91 odst. 2 písm. b)</t>
  </si>
  <si>
    <t>v případě tíživé sociální situace studenta dle § 91 odst. 3)</t>
  </si>
  <si>
    <t>ubytovací stipendium</t>
  </si>
  <si>
    <t>na podporu studia v zahraničí dle § 91 odst. 4 písm. a)</t>
  </si>
  <si>
    <t>na podporu studia v ČR dle § 91 odst. 4 písm. b)</t>
  </si>
  <si>
    <t xml:space="preserve">studentům doktorských studijních programů dle § 91 odst. 4 písm. c) </t>
  </si>
  <si>
    <t>Výnosy</t>
  </si>
  <si>
    <t>v hlavní činnosti</t>
  </si>
  <si>
    <t>v doplňkové činnosti</t>
  </si>
  <si>
    <t xml:space="preserve">od studentů </t>
  </si>
  <si>
    <t>od cizích strávníků</t>
  </si>
  <si>
    <t>od cizích ubytovaných</t>
  </si>
  <si>
    <t xml:space="preserve">z dotace MŠMT </t>
  </si>
  <si>
    <t>sl. 1</t>
  </si>
  <si>
    <t>sl. 2</t>
  </si>
  <si>
    <t>poplatky za nadstandardní dobu studia (§58 odst. 3)</t>
  </si>
  <si>
    <t>úplata za poskytování U3V</t>
  </si>
  <si>
    <t>úplata za poskytování programů CŽV (§ 60) mimo U3V</t>
  </si>
  <si>
    <t>Investiční celkem</t>
  </si>
  <si>
    <t xml:space="preserve">Poznámky: </t>
  </si>
  <si>
    <t xml:space="preserve">                   15.Pohledávky z pevných termínovaných operací a opcí</t>
  </si>
  <si>
    <t xml:space="preserve">                   16.Pohledávky z vydaných dluhopisů</t>
  </si>
  <si>
    <t xml:space="preserve">                     2.Vydané dluhopisy</t>
  </si>
  <si>
    <t xml:space="preserve">                    20.Vydané krátkodobé dluhopisy</t>
  </si>
  <si>
    <r>
      <t xml:space="preserve"> Příloha č.1 k vyhlášce č. </t>
    </r>
    <r>
      <rPr>
        <b/>
        <sz val="9"/>
        <rFont val="Calibri"/>
        <family val="2"/>
        <charset val="238"/>
      </rPr>
      <t>504/2002 Sb.</t>
    </r>
    <r>
      <rPr>
        <sz val="9"/>
        <rFont val="Calibri"/>
        <family val="2"/>
        <charset val="238"/>
      </rPr>
      <t xml:space="preserve"> ve znění pozdějších předpisů</t>
    </r>
  </si>
  <si>
    <r>
      <t xml:space="preserve"> Příloha č.2 k vyhlášce č. </t>
    </r>
    <r>
      <rPr>
        <b/>
        <sz val="9"/>
        <rFont val="Calibri"/>
        <family val="2"/>
        <charset val="238"/>
      </rPr>
      <t>504/2002 Sb.</t>
    </r>
    <r>
      <rPr>
        <sz val="9"/>
        <rFont val="Calibri"/>
        <family val="2"/>
        <charset val="238"/>
      </rPr>
      <t xml:space="preserve"> ve znění pozdějších předpisů</t>
    </r>
  </si>
  <si>
    <t>k</t>
  </si>
  <si>
    <t>profesoři</t>
  </si>
  <si>
    <t>docenti</t>
  </si>
  <si>
    <t>odborní asistenti</t>
  </si>
  <si>
    <t>asistenti</t>
  </si>
  <si>
    <t>lektoři</t>
  </si>
  <si>
    <t>akademičtí pracovníci</t>
  </si>
  <si>
    <t>CELKEM</t>
  </si>
  <si>
    <t>Fondy</t>
  </si>
  <si>
    <t>bez VaV</t>
  </si>
  <si>
    <t>Operační programy EU</t>
  </si>
  <si>
    <t>Ostatní zdroje</t>
  </si>
  <si>
    <t>Počet pracovníků</t>
  </si>
  <si>
    <t>Průměrná měsíční mzda</t>
  </si>
  <si>
    <t>Kapitola 333 - MŠMT</t>
  </si>
  <si>
    <t>VZaLS</t>
  </si>
  <si>
    <t>Vysoká škola</t>
  </si>
  <si>
    <t>VaV</t>
  </si>
  <si>
    <t>VaV z ostatních zdrojů (bez operačních progr.)</t>
  </si>
  <si>
    <t>VaV ze zahraničí</t>
  </si>
  <si>
    <t>ostatní poskytovatelé</t>
  </si>
  <si>
    <t>kapitola 333 - MŠMT</t>
  </si>
  <si>
    <t>Mzdy</t>
  </si>
  <si>
    <t>ostatní zdroje rozpočtu VŠ</t>
  </si>
  <si>
    <t>Zdroj financování</t>
  </si>
  <si>
    <t>Poznámky</t>
  </si>
  <si>
    <t>v tom</t>
  </si>
  <si>
    <t>poskytnuté</t>
  </si>
  <si>
    <t>poskytnuto</t>
  </si>
  <si>
    <t>e=a+c</t>
  </si>
  <si>
    <t>f=b+d</t>
  </si>
  <si>
    <t>MŠMT</t>
  </si>
  <si>
    <t>použité</t>
  </si>
  <si>
    <t>Výsledek hospodaření</t>
  </si>
  <si>
    <t>l=h-b</t>
  </si>
  <si>
    <t>m=k-c</t>
  </si>
  <si>
    <t>sl.  3</t>
  </si>
  <si>
    <t>sl. 4</t>
  </si>
  <si>
    <t xml:space="preserve">                     7.Závazky k institucím sociálního zabezpečení a veřejného zdravotního pojištění</t>
  </si>
  <si>
    <t>k 31.12.</t>
  </si>
  <si>
    <t>e=a+b-d</t>
  </si>
  <si>
    <t xml:space="preserve">Fondy celkem  </t>
  </si>
  <si>
    <t>6a</t>
  </si>
  <si>
    <t>6b</t>
  </si>
  <si>
    <t>STIPENDIA přiznána a vyplacena</t>
  </si>
  <si>
    <t>na výzkumnou, vývojovou a inovační činnost podle zvláštního právního předpisu, § 91 odst.2 písm. c)</t>
  </si>
  <si>
    <t>v případech zvláštního zřetele hodných dle § 91 odst. 2 písm. e)</t>
  </si>
  <si>
    <t>v případě tíživé sociální situace studenta dle § 91 odst. 2 písm. d)</t>
  </si>
  <si>
    <t>Studenti</t>
  </si>
  <si>
    <t>Ostatní</t>
  </si>
  <si>
    <t>jiná stipendia</t>
  </si>
  <si>
    <t>Kontrolní vazba</t>
  </si>
  <si>
    <t>Kontrolní vazby</t>
  </si>
  <si>
    <t xml:space="preserve">                    13.Závazky ze vztahu k rozpočtu orgánů územních samosprávných celků</t>
  </si>
  <si>
    <t xml:space="preserve">                   13.Nároky na dotace a ostatní zúčtování s rozpočtem orgánů územních samospr. celků</t>
  </si>
  <si>
    <t xml:space="preserve">                   10.Oprávky k drobnému dlouhodobému hmotnému majetku</t>
  </si>
  <si>
    <t xml:space="preserve">                   11.Oprávky k ostatnímu dlouhodobému hmotnému majetku</t>
  </si>
  <si>
    <t xml:space="preserve">     II. Výsledek hospodaření celkem</t>
  </si>
  <si>
    <t xml:space="preserve">                    14.Závazky z upsaných nesplacených cenných papírů a podílů</t>
  </si>
  <si>
    <t xml:space="preserve">                     3.Nerozdělený zisk, neuhrazená ztráta minulých let</t>
  </si>
  <si>
    <t>v tom: stavby</t>
  </si>
  <si>
    <t>Druh stipendia</t>
  </si>
  <si>
    <t>Poplatky stanovené dle § 58 zákona 111/1998 Sb.</t>
  </si>
  <si>
    <t>Pronájem</t>
  </si>
  <si>
    <t>Tržby z prodeje majetku</t>
  </si>
  <si>
    <t>Dary</t>
  </si>
  <si>
    <t>Dědictví</t>
  </si>
  <si>
    <t>Vybrané činnosti</t>
  </si>
  <si>
    <t>Zdroje</t>
  </si>
  <si>
    <t>(1) Členění se uvádí podle § 22 odst.1 a) zákona č.111/1998 Sb. Počet řádků rozšířit dle potřeby.</t>
  </si>
  <si>
    <r>
      <t xml:space="preserve">ostatní příjmy </t>
    </r>
    <r>
      <rPr>
        <sz val="10"/>
        <rFont val="Calibri"/>
        <family val="2"/>
        <charset val="238"/>
      </rPr>
      <t>(1)</t>
    </r>
  </si>
  <si>
    <r>
      <t xml:space="preserve">ostatní užití </t>
    </r>
    <r>
      <rPr>
        <sz val="10"/>
        <rFont val="Calibri"/>
        <family val="2"/>
        <charset val="238"/>
      </rPr>
      <t>(1)</t>
    </r>
  </si>
  <si>
    <r>
      <t xml:space="preserve">ostatní příjmy </t>
    </r>
    <r>
      <rPr>
        <sz val="10"/>
        <color indexed="8"/>
        <rFont val="Calibri"/>
        <family val="2"/>
        <charset val="238"/>
      </rPr>
      <t>(2)</t>
    </r>
  </si>
  <si>
    <r>
      <t xml:space="preserve">Prostředky z veřejných zdrojů </t>
    </r>
    <r>
      <rPr>
        <b/>
        <sz val="10"/>
        <color indexed="8"/>
        <rFont val="Calibri"/>
        <family val="2"/>
        <charset val="238"/>
      </rPr>
      <t>běžné</t>
    </r>
  </si>
  <si>
    <r>
      <t xml:space="preserve">Prostředky z veřejných zdrojů </t>
    </r>
    <r>
      <rPr>
        <b/>
        <sz val="10"/>
        <color indexed="8"/>
        <rFont val="Calibri"/>
        <family val="2"/>
        <charset val="238"/>
      </rPr>
      <t>kapitálové</t>
    </r>
  </si>
  <si>
    <r>
      <t xml:space="preserve">Prostředky z veřejných zdrojů </t>
    </r>
    <r>
      <rPr>
        <b/>
        <sz val="10"/>
        <color indexed="8"/>
        <rFont val="Calibri"/>
        <family val="2"/>
        <charset val="238"/>
      </rPr>
      <t>celkem</t>
    </r>
  </si>
  <si>
    <t>Použité zdroje celkem</t>
  </si>
  <si>
    <t>g=e-f</t>
  </si>
  <si>
    <t>C  e  l  k  e  m</t>
  </si>
  <si>
    <t>Vratka nevyčerpaných prostředků</t>
  </si>
  <si>
    <t>Název údaje</t>
  </si>
  <si>
    <t>I. Běžné prostředky</t>
  </si>
  <si>
    <t>II. Kapitálové prostředky</t>
  </si>
  <si>
    <t>III. Celkem</t>
  </si>
  <si>
    <r>
      <t xml:space="preserve">poskytnuto </t>
    </r>
    <r>
      <rPr>
        <sz val="8"/>
        <rFont val="Calibri"/>
        <family val="2"/>
        <charset val="238"/>
      </rPr>
      <t>(2)</t>
    </r>
  </si>
  <si>
    <t>v tom:</t>
  </si>
  <si>
    <t>získané přes kapitolu MŠMT</t>
  </si>
  <si>
    <t>dotace spojené se vzdělávací činností</t>
  </si>
  <si>
    <t>dotace na VaV</t>
  </si>
  <si>
    <t xml:space="preserve">Název akce </t>
  </si>
  <si>
    <r>
      <t xml:space="preserve">Prostředky z veřejných zdrojů </t>
    </r>
    <r>
      <rPr>
        <b/>
        <sz val="10"/>
        <color indexed="8"/>
        <rFont val="Calibri"/>
        <family val="2"/>
        <charset val="238"/>
      </rPr>
      <t>celkem</t>
    </r>
    <r>
      <rPr>
        <sz val="10"/>
        <color indexed="8"/>
        <rFont val="Calibri"/>
        <family val="2"/>
        <charset val="238"/>
      </rPr>
      <t xml:space="preserve"> </t>
    </r>
  </si>
  <si>
    <t xml:space="preserve">poskytnuté </t>
  </si>
  <si>
    <t>j=f+h+i</t>
  </si>
  <si>
    <t>FRIM</t>
  </si>
  <si>
    <t>FPP</t>
  </si>
  <si>
    <t>FÚUP</t>
  </si>
  <si>
    <t>l= f+k</t>
  </si>
  <si>
    <t>C</t>
  </si>
  <si>
    <t>Stipendia pro studenty doktorských studijních programů</t>
  </si>
  <si>
    <t>D</t>
  </si>
  <si>
    <t>F</t>
  </si>
  <si>
    <t>Sociální stipendia</t>
  </si>
  <si>
    <t>Ubytovací stipendia</t>
  </si>
  <si>
    <t>I</t>
  </si>
  <si>
    <t>J</t>
  </si>
  <si>
    <t>Dotace na ubytování a stravování</t>
  </si>
  <si>
    <r>
      <t>poskytnuté</t>
    </r>
    <r>
      <rPr>
        <sz val="8"/>
        <color indexed="8"/>
        <rFont val="Calibri"/>
        <family val="2"/>
        <charset val="238"/>
      </rPr>
      <t xml:space="preserve"> (2)</t>
    </r>
  </si>
  <si>
    <t>OON</t>
  </si>
  <si>
    <r>
      <t xml:space="preserve">Prostředky z veřejných zdrojů </t>
    </r>
    <r>
      <rPr>
        <b/>
        <sz val="10"/>
        <color indexed="8"/>
        <rFont val="Calibri"/>
        <family val="2"/>
        <charset val="238"/>
      </rPr>
      <t xml:space="preserve">běžné </t>
    </r>
    <r>
      <rPr>
        <sz val="8"/>
        <color indexed="8"/>
        <rFont val="Calibri"/>
        <family val="2"/>
        <charset val="238"/>
      </rPr>
      <t>(1)</t>
    </r>
  </si>
  <si>
    <r>
      <t xml:space="preserve">poskytnuté </t>
    </r>
    <r>
      <rPr>
        <sz val="8"/>
        <color indexed="8"/>
        <rFont val="Calibri"/>
        <family val="2"/>
        <charset val="238"/>
      </rPr>
      <t>(2)</t>
    </r>
  </si>
  <si>
    <r>
      <rPr>
        <sz val="8"/>
        <rFont val="Calibri"/>
        <family val="2"/>
        <charset val="238"/>
      </rPr>
      <t>(3)</t>
    </r>
    <r>
      <rPr>
        <sz val="10"/>
        <rFont val="Calibri"/>
        <family val="2"/>
        <charset val="238"/>
      </rPr>
      <t xml:space="preserve"> Uvedou se prostředky fondu reprodukce majetku VVŠ, případně investičního příspěvku daného roku.  Pokud v hodnotě bude investiční příspěvek obsažen, je třeba tuto skutečnost specifikovat v komentáři.</t>
    </r>
  </si>
  <si>
    <t>Územní rozpočty</t>
  </si>
  <si>
    <t>f*</t>
  </si>
  <si>
    <t>Ostatní kapitoly státního rozpočtu</t>
  </si>
  <si>
    <r>
      <t xml:space="preserve">Prostředky ze zahraničí </t>
    </r>
    <r>
      <rPr>
        <sz val="10"/>
        <color indexed="8"/>
        <rFont val="Calibri"/>
        <family val="2"/>
        <charset val="238"/>
      </rPr>
      <t>(získané přímo VVŠ)</t>
    </r>
  </si>
  <si>
    <r>
      <t>Vlastní použité</t>
    </r>
    <r>
      <rPr>
        <sz val="8"/>
        <color indexed="8"/>
        <rFont val="Calibri"/>
        <family val="2"/>
        <charset val="238"/>
      </rPr>
      <t xml:space="preserve"> (3)</t>
    </r>
  </si>
  <si>
    <r>
      <rPr>
        <sz val="8"/>
        <rFont val="Calibri"/>
        <family val="2"/>
        <charset val="238"/>
      </rPr>
      <t>(4)</t>
    </r>
    <r>
      <rPr>
        <sz val="9"/>
        <rFont val="Calibri"/>
        <family val="2"/>
        <charset val="238"/>
      </rPr>
      <t xml:space="preserve"> Uvedou se </t>
    </r>
    <r>
      <rPr>
        <sz val="10"/>
        <rFont val="Calibri"/>
        <family val="2"/>
        <charset val="238"/>
      </rPr>
      <t>prostředky nezařazené v předchozích sloupcích.</t>
    </r>
  </si>
  <si>
    <t>f**</t>
  </si>
  <si>
    <r>
      <rPr>
        <sz val="8"/>
        <color indexed="8"/>
        <rFont val="Calibri"/>
        <family val="2"/>
        <charset val="238"/>
      </rPr>
      <t>(5)</t>
    </r>
    <r>
      <rPr>
        <sz val="10"/>
        <color indexed="8"/>
        <rFont val="Calibri"/>
        <family val="2"/>
        <charset val="238"/>
      </rPr>
      <t xml:space="preserve"> Jedná se o vědecké pracovníky, kteří v rámci svého úvazku na vysoké škole pouze vědecky pracují. Pedagogické činnosti se nevěnují vůbec.</t>
    </r>
  </si>
  <si>
    <t>Tabulka 7   Příjmy z poplatků a úhrad za další činnosti poskytované veřejnou vysokou školou</t>
  </si>
  <si>
    <t>Tabulka 10.a   Neinvestiční náklady a výnosy - oblast stravování</t>
  </si>
  <si>
    <t>Tabulka 10.b   Neinvestiční náklady a výnosy - oblast ubytování</t>
  </si>
  <si>
    <r>
      <t xml:space="preserve">účet / součet </t>
    </r>
    <r>
      <rPr>
        <sz val="8"/>
        <rFont val="Calibri"/>
        <family val="2"/>
        <charset val="238"/>
      </rPr>
      <t>(2)</t>
    </r>
  </si>
  <si>
    <r>
      <t>řádek</t>
    </r>
    <r>
      <rPr>
        <sz val="9"/>
        <rFont val="Calibri"/>
        <family val="2"/>
        <charset val="238"/>
      </rPr>
      <t xml:space="preserve"> </t>
    </r>
    <r>
      <rPr>
        <sz val="8"/>
        <rFont val="Calibri"/>
        <family val="2"/>
        <charset val="238"/>
      </rPr>
      <t>(3)</t>
    </r>
  </si>
  <si>
    <t xml:space="preserve">       dotace spojené s programy reprodukce majetku</t>
  </si>
  <si>
    <t xml:space="preserve">       příspěvek</t>
  </si>
  <si>
    <t xml:space="preserve">       ostatní dotace</t>
  </si>
  <si>
    <t>j=e-f</t>
  </si>
  <si>
    <r>
      <t>Ostatní použité neveřejné zdroje celkem</t>
    </r>
    <r>
      <rPr>
        <sz val="8"/>
        <color indexed="8"/>
        <rFont val="Calibri"/>
        <family val="2"/>
        <charset val="238"/>
      </rPr>
      <t xml:space="preserve"> (4)</t>
    </r>
  </si>
  <si>
    <t>d=a+b+c</t>
  </si>
  <si>
    <r>
      <t xml:space="preserve">od zaměst-  nanců </t>
    </r>
    <r>
      <rPr>
        <sz val="8"/>
        <rFont val="Calibri"/>
        <family val="2"/>
        <charset val="238"/>
      </rPr>
      <t>(2)</t>
    </r>
  </si>
  <si>
    <r>
      <t xml:space="preserve">ostatní </t>
    </r>
    <r>
      <rPr>
        <sz val="8"/>
        <rFont val="Calibri"/>
        <family val="2"/>
        <charset val="238"/>
      </rPr>
      <t>(3)</t>
    </r>
  </si>
  <si>
    <t xml:space="preserve">          Příspěvek</t>
  </si>
  <si>
    <t xml:space="preserve">          Dotace</t>
  </si>
  <si>
    <t xml:space="preserve">     Institucionální podpora (IP)</t>
  </si>
  <si>
    <t xml:space="preserve">     IP na mezinárodní spolupráci ČR ve VaV</t>
  </si>
  <si>
    <r>
      <rPr>
        <sz val="8"/>
        <color indexed="8"/>
        <rFont val="Calibri"/>
        <family val="2"/>
        <charset val="238"/>
      </rPr>
      <t>(2)</t>
    </r>
    <r>
      <rPr>
        <sz val="10"/>
        <color indexed="8"/>
        <rFont val="Calibri"/>
        <family val="2"/>
        <charset val="238"/>
      </rPr>
      <t xml:space="preserve"> Obsahuje prostředky z GA ČR, TA ČR, ministerstev a dalších národních zdrojů (bez operačních programů EU).</t>
    </r>
  </si>
  <si>
    <t>3=sl.2/12/sl.1</t>
  </si>
  <si>
    <t>9=sl.8/12   /sl.7</t>
  </si>
  <si>
    <r>
      <rPr>
        <sz val="8"/>
        <rFont val="Calibri"/>
        <family val="2"/>
        <charset val="238"/>
      </rPr>
      <t>(1)</t>
    </r>
    <r>
      <rPr>
        <sz val="10"/>
        <rFont val="Calibri"/>
        <family val="2"/>
        <charset val="238"/>
      </rPr>
      <t xml:space="preserve"> Tato tabulka zahrnuje všechny veřejné zdroje vysoké školy, tedy včetně finančních prostředků souvisejících s hospodařením Kolejí a menz (KaM) a Vysokoškolských zemědělských a lesních statků (VZaLS).</t>
    </r>
  </si>
  <si>
    <t>j= f+i</t>
  </si>
  <si>
    <r>
      <rPr>
        <sz val="8"/>
        <rFont val="Calibri"/>
        <family val="2"/>
        <charset val="238"/>
      </rPr>
      <t>(2)</t>
    </r>
    <r>
      <rPr>
        <sz val="10"/>
        <rFont val="Calibri"/>
        <family val="2"/>
        <charset val="238"/>
      </rPr>
      <t xml:space="preserve"> Jedná se o finanční prostředky poskytnuté  vysoké škole rozhodnutím (sloupec 1, 3, 5) a použité na určitý účel v souladu s rozhodnutím (sloupec 2, 4, 6). 
</t>
    </r>
    <r>
      <rPr>
        <u/>
        <sz val="10"/>
        <rFont val="Calibri"/>
        <family val="2"/>
        <charset val="238"/>
      </rPr>
      <t>Poskytnuto</t>
    </r>
    <r>
      <rPr>
        <sz val="10"/>
        <rFont val="Calibri"/>
        <family val="2"/>
        <charset val="238"/>
      </rPr>
      <t xml:space="preserve">: jedná se o finanční prostředky, které vysoká škola v daném kalendářním roce získala na základě rozhodnutí. </t>
    </r>
    <r>
      <rPr>
        <u/>
        <sz val="10"/>
        <rFont val="Calibri"/>
        <family val="2"/>
        <charset val="238"/>
      </rPr>
      <t>Použito</t>
    </r>
    <r>
      <rPr>
        <sz val="10"/>
        <rFont val="Calibri"/>
        <family val="2"/>
        <charset val="238"/>
      </rPr>
      <t>: jedná se o finanční prostředky, které VŠ v daném kalendářním roce použila na účel v souladu s rozhodnutím.</t>
    </r>
  </si>
  <si>
    <r>
      <rPr>
        <sz val="8"/>
        <color indexed="8"/>
        <rFont val="Calibri"/>
        <family val="2"/>
        <charset val="238"/>
      </rPr>
      <t>(6)</t>
    </r>
    <r>
      <rPr>
        <sz val="10"/>
        <color indexed="8"/>
        <rFont val="Calibri"/>
        <family val="2"/>
        <charset val="238"/>
      </rPr>
      <t xml:space="preserve"> Fond účelově určených prostředků (§ 18, odst. 6 zákona o VŠ). Jedná se o finanční prostředky, které nebyly v daném kalendářním roce použity, ale byly převedeny do FÚUP. Jsou součástí "použitých" prostředků uvedených v této tabulce.</t>
    </r>
  </si>
  <si>
    <t xml:space="preserve">     Účelová podpora </t>
  </si>
  <si>
    <t xml:space="preserve">  (bez prostředků poskytovaných na programové financování, na operační programy a VaV)</t>
  </si>
  <si>
    <t xml:space="preserve">               (bez prostředků poskytovaných na operační programy EU) </t>
  </si>
  <si>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na základě rozhodnutí (sloupec a, c, e). </t>
    </r>
  </si>
  <si>
    <r>
      <rPr>
        <sz val="8"/>
        <rFont val="Calibri"/>
        <family val="2"/>
        <charset val="238"/>
      </rPr>
      <t>(8)</t>
    </r>
    <r>
      <rPr>
        <sz val="10"/>
        <rFont val="Calibri"/>
        <family val="2"/>
        <charset val="238"/>
      </rPr>
      <t xml:space="preserve"> Lze vyplnit pouze v posledním roce projektu nebo při předčasném ukončení projektu. Jedná se o souhrnný údaj za všechny roky trvání projektu.</t>
    </r>
  </si>
  <si>
    <r>
      <rPr>
        <sz val="8"/>
        <color indexed="8"/>
        <rFont val="Calibri"/>
        <family val="2"/>
        <charset val="238"/>
      </rPr>
      <t>(4)</t>
    </r>
    <r>
      <rPr>
        <sz val="10"/>
        <color indexed="8"/>
        <rFont val="Calibri"/>
        <family val="2"/>
        <charset val="238"/>
      </rPr>
      <t xml:space="preserve"> Fond reprodukce investičního majetku (FRIM), fond provozních prostředků (FPP), fond účelově určených prostředků(FÚUP), § 18, odst. 6 zákona o VŠ. Jedná se o finanční prostředky, které nebyly v daném kalendářním roce použity, ale byly převedeny do fondů - jsou součástí "použitých" prostředků uvedených v této tabulce (sl. b, d, f).</t>
    </r>
  </si>
  <si>
    <r>
      <t xml:space="preserve">Ostatní použité neveřej. zdroje </t>
    </r>
    <r>
      <rPr>
        <sz val="8"/>
        <color indexed="8"/>
        <rFont val="Calibri"/>
        <family val="2"/>
        <charset val="238"/>
      </rPr>
      <t>(5)</t>
    </r>
  </si>
  <si>
    <r>
      <rPr>
        <sz val="8"/>
        <color indexed="8"/>
        <rFont val="Calibri"/>
        <family val="2"/>
        <charset val="238"/>
      </rPr>
      <t xml:space="preserve">(5) </t>
    </r>
    <r>
      <rPr>
        <sz val="10"/>
        <color indexed="8"/>
        <rFont val="Calibri"/>
        <family val="2"/>
        <charset val="238"/>
      </rPr>
      <t xml:space="preserve">Sloupec "k" uvádí "ostatní použité neveřejné zdroje celkem" a obsahuje prostředky na dofinancování programů/aktivit uvedených v jednotlivých řádcích (a to pouze z neveřejných zdrojů). </t>
    </r>
  </si>
  <si>
    <r>
      <t xml:space="preserve">Převody do fondů </t>
    </r>
    <r>
      <rPr>
        <sz val="8"/>
        <color indexed="8"/>
        <rFont val="Calibri"/>
        <family val="2"/>
        <charset val="238"/>
      </rPr>
      <t>(4)</t>
    </r>
  </si>
  <si>
    <t>příjmy z prodeje nehm. a hmot.dlouhod.majetku</t>
  </si>
  <si>
    <r>
      <t>ostatní příjmy celkem</t>
    </r>
    <r>
      <rPr>
        <sz val="10"/>
        <rFont val="Calibri"/>
        <family val="2"/>
        <charset val="238"/>
      </rPr>
      <t xml:space="preserve"> </t>
    </r>
    <r>
      <rPr>
        <sz val="8"/>
        <rFont val="Calibri"/>
        <family val="2"/>
        <charset val="238"/>
      </rPr>
      <t>(1)</t>
    </r>
  </si>
  <si>
    <r>
      <t xml:space="preserve">            ostatní inv. užití </t>
    </r>
    <r>
      <rPr>
        <sz val="8"/>
        <rFont val="Calibri"/>
        <family val="2"/>
        <charset val="238"/>
      </rPr>
      <t>(1)</t>
    </r>
  </si>
  <si>
    <r>
      <t>Neinvestiční celkem</t>
    </r>
    <r>
      <rPr>
        <sz val="8"/>
        <rFont val="Calibri"/>
        <family val="2"/>
        <charset val="238"/>
      </rPr>
      <t xml:space="preserve"> (1)</t>
    </r>
  </si>
  <si>
    <r>
      <t xml:space="preserve">Příjmy z licenčních smluv </t>
    </r>
    <r>
      <rPr>
        <sz val="8"/>
        <rFont val="Calibri"/>
        <family val="2"/>
        <charset val="238"/>
      </rPr>
      <t>(2)</t>
    </r>
  </si>
  <si>
    <r>
      <t xml:space="preserve">Příjmy ze smluvního výzkumu </t>
    </r>
    <r>
      <rPr>
        <sz val="8"/>
        <rFont val="Calibri"/>
        <family val="2"/>
        <charset val="238"/>
      </rPr>
      <t>(3)</t>
    </r>
  </si>
  <si>
    <r>
      <t xml:space="preserve">Placené vzdělávací kurzy pro zaměstnance subjektů aplikační sféry </t>
    </r>
    <r>
      <rPr>
        <sz val="8"/>
        <rFont val="Calibri"/>
        <family val="2"/>
        <charset val="238"/>
      </rPr>
      <t>(4)</t>
    </r>
  </si>
  <si>
    <r>
      <t xml:space="preserve">Konzultace a poradenství </t>
    </r>
    <r>
      <rPr>
        <sz val="8"/>
        <rFont val="Calibri"/>
        <family val="2"/>
        <charset val="238"/>
      </rPr>
      <t>(5)</t>
    </r>
  </si>
  <si>
    <r>
      <rPr>
        <sz val="8"/>
        <color indexed="8"/>
        <rFont val="Calibri"/>
        <family val="2"/>
        <charset val="238"/>
      </rPr>
      <t>(1)</t>
    </r>
    <r>
      <rPr>
        <sz val="10"/>
        <color indexed="8"/>
        <rFont val="Calibri"/>
        <family val="2"/>
        <charset val="238"/>
      </rPr>
      <t xml:space="preserve"> Mzdy = plnění poskytované za vykonanou práci či v přímé souvislosti s prací poskytovanou na základě pracovního poměru, a to bez sociálního a zdravotního pojištění, které odvádí zaměstnavatel; OON obsahuje pouze platby za provedenou práci (DPP, DPČ), neobsahuje sociální a zdravotní pojištění, které odvádí zaměstnavatel.</t>
    </r>
  </si>
  <si>
    <t>A</t>
  </si>
  <si>
    <t>A.1</t>
  </si>
  <si>
    <t>A.2</t>
  </si>
  <si>
    <t>A.3</t>
  </si>
  <si>
    <t>A.4</t>
  </si>
  <si>
    <t>B</t>
  </si>
  <si>
    <t>C.1</t>
  </si>
  <si>
    <t>C.2</t>
  </si>
  <si>
    <t>C.3</t>
  </si>
  <si>
    <t>C.4</t>
  </si>
  <si>
    <t>D.3</t>
  </si>
  <si>
    <t>D.1</t>
  </si>
  <si>
    <t>D.2</t>
  </si>
  <si>
    <t>E</t>
  </si>
  <si>
    <t>Tabulka 5.a   Financování vzdělávací a vědecké, výzkumné, vývojové a inovační, umělecké a další tvůrčí činnosti</t>
  </si>
  <si>
    <t>Tabulka 5.c  Financování programů reprodukce majetku</t>
  </si>
  <si>
    <t>Tabulka 9  Stipendia</t>
  </si>
  <si>
    <r>
      <rPr>
        <sz val="8"/>
        <rFont val="Calibri"/>
        <family val="2"/>
        <charset val="238"/>
      </rPr>
      <t>(1)</t>
    </r>
    <r>
      <rPr>
        <sz val="10"/>
        <rFont val="Calibri"/>
        <family val="2"/>
        <charset val="238"/>
      </rPr>
      <t xml:space="preserve"> Údaje budou vyplněny v souladu s účetní evidencí vysoké školy.</t>
    </r>
  </si>
  <si>
    <r>
      <rPr>
        <sz val="8"/>
        <rFont val="Calibri"/>
        <family val="2"/>
        <charset val="238"/>
      </rPr>
      <t>(3)</t>
    </r>
    <r>
      <rPr>
        <sz val="10"/>
        <rFont val="Calibri"/>
        <family val="2"/>
        <charset val="238"/>
      </rPr>
      <t xml:space="preserve"> Jedná se o veřejné prostředky na financování projektů strukturálních fondů, zahrnuje všechny veřejné prostředky (jak evropskou, tak českou část spolufinancování).</t>
    </r>
  </si>
  <si>
    <r>
      <rPr>
        <sz val="8"/>
        <rFont val="Calibri"/>
        <family val="2"/>
        <charset val="238"/>
      </rPr>
      <t xml:space="preserve">(4) </t>
    </r>
    <r>
      <rPr>
        <sz val="10"/>
        <rFont val="Calibri"/>
        <family val="2"/>
        <charset val="238"/>
      </rPr>
      <t>Část tabulky Souhrn 1 a Souhrn 2 slouží k třídění údajů uvedených v předchozích řádcích tabulky 5.</t>
    </r>
  </si>
  <si>
    <t>tis. Kč</t>
  </si>
  <si>
    <t>(2) Uvádí se údaje po zdanění</t>
  </si>
  <si>
    <t>A+K</t>
  </si>
  <si>
    <t>(3) Údaje se shodují s údaji řádku č. 62 a řádku č. 64 z tab. č. 2</t>
  </si>
  <si>
    <r>
      <t xml:space="preserve">Rozvaha (bilance) </t>
    </r>
    <r>
      <rPr>
        <sz val="8"/>
        <rFont val="Calibri"/>
        <family val="2"/>
        <charset val="238"/>
      </rPr>
      <t>(1)</t>
    </r>
  </si>
  <si>
    <r>
      <t>Jednotlivé položky se vykazují v tis. Kč (</t>
    </r>
    <r>
      <rPr>
        <sz val="10"/>
        <rFont val="Calibri"/>
        <family val="2"/>
        <charset val="238"/>
      </rPr>
      <t>§4, odst.3</t>
    </r>
    <r>
      <rPr>
        <b/>
        <sz val="10"/>
        <rFont val="Calibri"/>
        <family val="2"/>
        <charset val="238"/>
      </rPr>
      <t>)</t>
    </r>
  </si>
  <si>
    <t>ř.2+10+21+28</t>
  </si>
  <si>
    <t xml:space="preserve">                    2.Umělecká díla, předměty a sbírky</t>
  </si>
  <si>
    <t xml:space="preserve">                    4.Hmotné movité věci a jejich soubory </t>
  </si>
  <si>
    <t xml:space="preserve">                    6.Dospělá zvířata a jejich skupiny</t>
  </si>
  <si>
    <t>ř.22 až 27</t>
  </si>
  <si>
    <t xml:space="preserve">                    1.Podíly - ovládaná nebo ovládající osoba</t>
  </si>
  <si>
    <t xml:space="preserve">                    2.Podíly -  podstatný vliv</t>
  </si>
  <si>
    <t xml:space="preserve">                    4.Zápůjčky organizačním složkám</t>
  </si>
  <si>
    <t xml:space="preserve">                    5.Ostatní dlouhodobé zápůjčky</t>
  </si>
  <si>
    <t>ř.29 až 39</t>
  </si>
  <si>
    <t xml:space="preserve">                    4.Oprávky k drobnému dlouhodobému nehmotnému  majetku</t>
  </si>
  <si>
    <t xml:space="preserve">                    5.Oprávky k ostatnímu dlouhodobému nehmotnému  majetku</t>
  </si>
  <si>
    <t xml:space="preserve">                    7.Oprávky k samost.hmotným movitým věcem a souboru hmotných movitých věcí</t>
  </si>
  <si>
    <t>ř.41+51+71+79</t>
  </si>
  <si>
    <t>ř.42 až 50</t>
  </si>
  <si>
    <t xml:space="preserve">                    6.Mladá a ostatní zvířata a jejich skupiny</t>
  </si>
  <si>
    <t>ř.52 až70</t>
  </si>
  <si>
    <t xml:space="preserve">                    7.Pohledávky za institucemi sociálního zabezpečení a veřejného zdravotního pojištění</t>
  </si>
  <si>
    <t xml:space="preserve">                   12.Nároky na dotace a ostatní zúčtování se státním rozpočtem</t>
  </si>
  <si>
    <t xml:space="preserve">                   14.Pohledávky za společníky sdruženými ve společnosti</t>
  </si>
  <si>
    <t>ř.72 až 78</t>
  </si>
  <si>
    <t xml:space="preserve">                     1.Peněžní prostředky v pokladně</t>
  </si>
  <si>
    <t xml:space="preserve">                     7.Peníze na cestě</t>
  </si>
  <si>
    <t>ř.80 až 81</t>
  </si>
  <si>
    <t>ř. 1+40</t>
  </si>
  <si>
    <t>ř.84+88</t>
  </si>
  <si>
    <t>ř.85 až 87</t>
  </si>
  <si>
    <t>ř.89 až 91</t>
  </si>
  <si>
    <t>ř.93+95+103+127</t>
  </si>
  <si>
    <t>ř.94</t>
  </si>
  <si>
    <t>ř.96 až 102</t>
  </si>
  <si>
    <t xml:space="preserve">                     1.Dlouhodobé úvěry</t>
  </si>
  <si>
    <t>ř.104 až 126</t>
  </si>
  <si>
    <t xml:space="preserve">                    15.Závazky ke společníkům sdruženým ve společnosti</t>
  </si>
  <si>
    <t xml:space="preserve">                    18.Krátkodobé úvěry</t>
  </si>
  <si>
    <t>ř.128 až 129</t>
  </si>
  <si>
    <t>ř.83+92</t>
  </si>
  <si>
    <r>
      <rPr>
        <sz val="8"/>
        <rFont val="Calibri"/>
        <family val="2"/>
        <charset val="238"/>
      </rPr>
      <t>(1)</t>
    </r>
    <r>
      <rPr>
        <i/>
        <sz val="10"/>
        <rFont val="Calibri"/>
        <family val="2"/>
        <charset val="238"/>
      </rPr>
      <t xml:space="preserve"> </t>
    </r>
    <r>
      <rPr>
        <sz val="10"/>
        <rFont val="Calibri"/>
        <family val="2"/>
        <charset val="238"/>
      </rPr>
      <t>Zpracování "Rozvahy" se řídí § 5 a §§ 7 až 25  Vyhlášky 504/2002 Sb.</t>
    </r>
  </si>
  <si>
    <r>
      <rPr>
        <sz val="8"/>
        <rFont val="Calibri"/>
        <family val="2"/>
        <charset val="238"/>
      </rPr>
      <t>(2)</t>
    </r>
    <r>
      <rPr>
        <sz val="10"/>
        <rFont val="Calibri"/>
        <family val="2"/>
        <charset val="238"/>
      </rPr>
      <t xml:space="preserve"> Vyhláškou je dáno pouze označení a členění textů; čísla příslušných účtů jsou doplněna pro lepší orientaci ve výkazu.</t>
    </r>
  </si>
  <si>
    <r>
      <rPr>
        <sz val="8"/>
        <rFont val="Calibri"/>
        <family val="2"/>
        <charset val="238"/>
      </rPr>
      <t>(3)</t>
    </r>
    <r>
      <rPr>
        <sz val="10"/>
        <rFont val="Calibri"/>
        <family val="2"/>
        <charset val="238"/>
      </rPr>
      <t xml:space="preserve"> Číslování řádků a sloupců je závazné </t>
    </r>
  </si>
  <si>
    <r>
      <rPr>
        <sz val="8"/>
        <rFont val="Calibri"/>
        <family val="2"/>
        <charset val="238"/>
      </rPr>
      <t>(4)</t>
    </r>
    <r>
      <rPr>
        <sz val="10"/>
        <rFont val="Calibri"/>
        <family val="2"/>
        <charset val="238"/>
      </rPr>
      <t xml:space="preserve"> Údaje se vyplňují  na celé tisíce bez desetinných míst.</t>
    </r>
  </si>
  <si>
    <r>
      <t xml:space="preserve">Výkaz zisku a ztráty </t>
    </r>
    <r>
      <rPr>
        <sz val="8"/>
        <rFont val="Calibri"/>
        <family val="2"/>
        <charset val="238"/>
      </rPr>
      <t>(1)</t>
    </r>
  </si>
  <si>
    <r>
      <t xml:space="preserve"> Jednotlivé položky se vykazují v tis. Kč (</t>
    </r>
    <r>
      <rPr>
        <sz val="10"/>
        <rFont val="Calibri"/>
        <family val="2"/>
        <charset val="238"/>
      </rPr>
      <t>§4, odst.3</t>
    </r>
    <r>
      <rPr>
        <b/>
        <sz val="10"/>
        <rFont val="Calibri"/>
        <family val="2"/>
        <charset val="238"/>
      </rPr>
      <t>)</t>
    </r>
  </si>
  <si>
    <r>
      <t xml:space="preserve">řádek </t>
    </r>
    <r>
      <rPr>
        <sz val="8"/>
        <rFont val="Calibri"/>
        <family val="2"/>
        <charset val="238"/>
      </rPr>
      <t>(3)</t>
    </r>
  </si>
  <si>
    <t xml:space="preserve">     I. Spotřebované nákupy a nakupované služby</t>
  </si>
  <si>
    <t>ř.2 až 7</t>
  </si>
  <si>
    <t xml:space="preserve">            1.Spotřeba materiálu, energie a ostatních neskladovaných dodávek</t>
  </si>
  <si>
    <t>501,502,503</t>
  </si>
  <si>
    <t xml:space="preserve">            2.Prodané zboží</t>
  </si>
  <si>
    <t xml:space="preserve">            3.Opravy a udržování</t>
  </si>
  <si>
    <t xml:space="preserve">            4.Náklady na cestovné</t>
  </si>
  <si>
    <t xml:space="preserve">            5.Náklady na reprezentaci</t>
  </si>
  <si>
    <t xml:space="preserve">            6.Ostatní služby</t>
  </si>
  <si>
    <t xml:space="preserve">     II.Změny stavu zásob vlastní činnosti a aktivace</t>
  </si>
  <si>
    <t>ř.9 až 11</t>
  </si>
  <si>
    <t xml:space="preserve">           7.Změna stavu zásob vlastní činnosti</t>
  </si>
  <si>
    <t xml:space="preserve">           8.Aktivace materiálu, zboží a vnitroorganizačních služeb</t>
  </si>
  <si>
    <t xml:space="preserve">           9.Aktivace dlouhodobého majetku</t>
  </si>
  <si>
    <t xml:space="preserve">     III.Osobní náklady </t>
  </si>
  <si>
    <t>ř.13 až 17</t>
  </si>
  <si>
    <t xml:space="preserve">           10.Mzdové náklady</t>
  </si>
  <si>
    <t xml:space="preserve">            11.Zákonné sociální pojištění</t>
  </si>
  <si>
    <t xml:space="preserve">            12.Ostatní sociální pojištění</t>
  </si>
  <si>
    <t xml:space="preserve">            13.Zákonné sociální náklady</t>
  </si>
  <si>
    <t xml:space="preserve">            14.Ostatní sociální náklady</t>
  </si>
  <si>
    <t xml:space="preserve">    IV.Daně a poplatky </t>
  </si>
  <si>
    <t xml:space="preserve">ř.19 </t>
  </si>
  <si>
    <t xml:space="preserve">            15.Daně a poplatky</t>
  </si>
  <si>
    <t xml:space="preserve">    V.Ostatní náklady </t>
  </si>
  <si>
    <t>ř.21 až 27</t>
  </si>
  <si>
    <t xml:space="preserve">            16.Smluvní pokuty a úroky z prodlení, ostatní pokuty a penále</t>
  </si>
  <si>
    <t xml:space="preserve">            17.Odpis nedobytné pohledávky</t>
  </si>
  <si>
    <t xml:space="preserve">            18.Nákladové úroky</t>
  </si>
  <si>
    <t xml:space="preserve">            19.Kursové ztráty</t>
  </si>
  <si>
    <t xml:space="preserve">            20.Dary</t>
  </si>
  <si>
    <t xml:space="preserve">            21.Manka a škody</t>
  </si>
  <si>
    <t xml:space="preserve">            22.Jiné ostatní náklady</t>
  </si>
  <si>
    <t xml:space="preserve">     VI.Odpisy, prodaný majetek, tvorba rezerv a opravných položek </t>
  </si>
  <si>
    <t>ř.29 až 33</t>
  </si>
  <si>
    <t xml:space="preserve">            23.Odpisy dlouhodobého majetku</t>
  </si>
  <si>
    <t xml:space="preserve">            24.Prodaný dlouhodobý majetek</t>
  </si>
  <si>
    <t xml:space="preserve">            25.Prodané cenné papíry a podíly</t>
  </si>
  <si>
    <t xml:space="preserve">            26.Prodaný materiál</t>
  </si>
  <si>
    <t xml:space="preserve">            27.Tvorba a použití  rezerv a opravných položek</t>
  </si>
  <si>
    <t>556,558,559</t>
  </si>
  <si>
    <t>ř.35</t>
  </si>
  <si>
    <t xml:space="preserve">            28.Poskyt.členské příspěvky a příspěvky zúčt. mezi  organ. složkami</t>
  </si>
  <si>
    <t>ř.37</t>
  </si>
  <si>
    <t xml:space="preserve">            29.Daň z příjmů</t>
  </si>
  <si>
    <t xml:space="preserve">        I.Provozní dotace</t>
  </si>
  <si>
    <t xml:space="preserve">             1.Provozní dotace</t>
  </si>
  <si>
    <t xml:space="preserve">      II.Přijaté příspěvky </t>
  </si>
  <si>
    <t>ř.43 až 45</t>
  </si>
  <si>
    <t xml:space="preserve">             2.Přijaté příspěvky zúčtované mezi organizačními složkami</t>
  </si>
  <si>
    <t xml:space="preserve">            3.Přijaté příspěvky (dary)</t>
  </si>
  <si>
    <t xml:space="preserve">             4.Přijaté členské příspěvky</t>
  </si>
  <si>
    <t xml:space="preserve">        III.Tržby za vlastní výkony a za zboží celkem</t>
  </si>
  <si>
    <t>601,602,604</t>
  </si>
  <si>
    <t xml:space="preserve">        IV.Ostatní výnosy celkem</t>
  </si>
  <si>
    <t>ř.48 až 53</t>
  </si>
  <si>
    <t xml:space="preserve">             5.Smluvní pokuty, úroky z prodlení, ostatní pokuty a penále</t>
  </si>
  <si>
    <t xml:space="preserve">             6.Platby za odepsané pohledávky</t>
  </si>
  <si>
    <t xml:space="preserve">             7.Výnosové úroky</t>
  </si>
  <si>
    <t xml:space="preserve">             8.Kursové zisky</t>
  </si>
  <si>
    <t xml:space="preserve">             9.Zúčtování fondů</t>
  </si>
  <si>
    <t xml:space="preserve">             10.Jiné ostatní výnosy</t>
  </si>
  <si>
    <t xml:space="preserve">       V.Tržby z prodeje majetku</t>
  </si>
  <si>
    <t>ř.55 až 59</t>
  </si>
  <si>
    <t xml:space="preserve">             11.Tržby z prodeje dlouh. nehmotného a hmotného majetku</t>
  </si>
  <si>
    <t xml:space="preserve">             12.Tržby z prodeje cenných papírů a podílů</t>
  </si>
  <si>
    <t xml:space="preserve">             13.Tržby z prodeje materiálu</t>
  </si>
  <si>
    <t xml:space="preserve">             14.Výnosy z krátkodobého finančního majetku</t>
  </si>
  <si>
    <t xml:space="preserve">             15.Výnosy z dlouhodobého finančního majetku</t>
  </si>
  <si>
    <t xml:space="preserve">ř.40+42+46+47+54 </t>
  </si>
  <si>
    <t xml:space="preserve"> Výsledek hospodaření před zdaněním celkem</t>
  </si>
  <si>
    <t>ř.61/sl.1+61/sl.2</t>
  </si>
  <si>
    <t xml:space="preserve"> Výsledek hospodaření po zdanění celkem</t>
  </si>
  <si>
    <t>ř.62/sl.1+62/sl.2</t>
  </si>
  <si>
    <r>
      <rPr>
        <sz val="8"/>
        <rFont val="Calibri"/>
        <family val="2"/>
        <charset val="238"/>
      </rPr>
      <t>(1)</t>
    </r>
    <r>
      <rPr>
        <sz val="10"/>
        <rFont val="Calibri"/>
        <family val="2"/>
        <charset val="238"/>
      </rPr>
      <t xml:space="preserve"> Zpracování "Výkazu zisku a ztraty" se řídí § 6 a §§ 26 až 28  Vyhlášky 504/2002 Sb.</t>
    </r>
  </si>
  <si>
    <r>
      <rPr>
        <sz val="8"/>
        <rFont val="Calibri"/>
        <family val="2"/>
        <charset val="238"/>
      </rPr>
      <t>(2)</t>
    </r>
    <r>
      <rPr>
        <sz val="10"/>
        <rFont val="Calibri"/>
        <family val="2"/>
        <charset val="238"/>
      </rPr>
      <t xml:space="preserve"> Vyhláškou je dáno pouze označení a členění textů; čísla příslušných účtů  a skupin jsou doplněna pro lepší orientaci ve výkazu.</t>
    </r>
  </si>
  <si>
    <r>
      <rPr>
        <sz val="8"/>
        <color indexed="8"/>
        <rFont val="Calibri"/>
        <family val="2"/>
        <charset val="238"/>
      </rPr>
      <t>(3)</t>
    </r>
    <r>
      <rPr>
        <sz val="10"/>
        <color indexed="8"/>
        <rFont val="Calibri"/>
        <family val="2"/>
        <charset val="238"/>
      </rPr>
      <t xml:space="preserve"> Použito: jedná se o finanční prostředky, které VŠ v daném kalendářním roce použila na účel v souladu s rozhodnutím (sloupec b, d, f). Pokud by škola používala veřejné prostředky institucionálního charakteru (např. IP na rozvoj VO) k dofinancování programů/aktivit uvedených v dalších řádcích této tabulky nebo projektů zde neuvedených, takové použití pro jiný účel financovaný z veřejných zdrojů je nutné specifikovat v komentáři.</t>
    </r>
  </si>
  <si>
    <t>PO 1 - Posilování kapacit pro kvalitní výzkum</t>
  </si>
  <si>
    <t>PO 2 - Rozvoj VŠ a lidských zdrojů pro VaV</t>
  </si>
  <si>
    <t>j=f+i</t>
  </si>
  <si>
    <t xml:space="preserve">ř.41 </t>
  </si>
  <si>
    <t>ř.61 - 36</t>
  </si>
  <si>
    <t>ř.60 - 38 + 36</t>
  </si>
  <si>
    <t>Tabulka 2   Výkaz zisku a ztráty - sumář</t>
  </si>
  <si>
    <r>
      <t>hlavní</t>
    </r>
    <r>
      <rPr>
        <sz val="10"/>
        <rFont val="Calibri"/>
        <family val="2"/>
        <charset val="238"/>
      </rPr>
      <t>+</t>
    </r>
    <r>
      <rPr>
        <b/>
        <sz val="10"/>
        <rFont val="Calibri"/>
        <family val="2"/>
        <charset val="238"/>
      </rPr>
      <t xml:space="preserve">doplňková </t>
    </r>
    <r>
      <rPr>
        <sz val="10"/>
        <rFont val="Calibri"/>
        <family val="2"/>
        <charset val="238"/>
      </rPr>
      <t>(hospodářská)</t>
    </r>
    <r>
      <rPr>
        <b/>
        <sz val="10"/>
        <rFont val="Calibri"/>
        <family val="2"/>
        <charset val="238"/>
      </rPr>
      <t xml:space="preserve"> č.</t>
    </r>
  </si>
  <si>
    <t>hlavní činnost</t>
  </si>
  <si>
    <r>
      <t xml:space="preserve">doplňková </t>
    </r>
    <r>
      <rPr>
        <sz val="10"/>
        <rFont val="Calibri"/>
        <family val="2"/>
        <charset val="238"/>
      </rPr>
      <t>(hospodářská)</t>
    </r>
    <r>
      <rPr>
        <b/>
        <sz val="10"/>
        <rFont val="Calibri"/>
        <family val="2"/>
        <charset val="238"/>
      </rPr>
      <t xml:space="preserve"> činnost </t>
    </r>
  </si>
  <si>
    <t>ř.1+8+12+18+20+28+34+36</t>
  </si>
  <si>
    <t>Tabulka 2.b   Výkaz zisku a ztráty - stravovací a ubytovací činnost</t>
  </si>
  <si>
    <t>stav k 1.1.</t>
  </si>
  <si>
    <r>
      <t>stav k 31.12.</t>
    </r>
    <r>
      <rPr>
        <sz val="10"/>
        <rFont val="Calibri"/>
        <family val="2"/>
        <charset val="238"/>
      </rPr>
      <t/>
    </r>
  </si>
  <si>
    <t>HV z hlavní činnosti</t>
  </si>
  <si>
    <t>HV z doplňkové činnosti</t>
  </si>
  <si>
    <t>Katolická teologická fakulta</t>
  </si>
  <si>
    <t>Evangelická teologická fakulta</t>
  </si>
  <si>
    <t>Husitská teologická fakulta</t>
  </si>
  <si>
    <t>Právnická fakulta</t>
  </si>
  <si>
    <t>1. lékařská fakulta</t>
  </si>
  <si>
    <t>2. lékařská fakulta</t>
  </si>
  <si>
    <t>3. lékařská fakulta</t>
  </si>
  <si>
    <t>Lékařská fakulta v Plzni</t>
  </si>
  <si>
    <t>Lékařská fakulta v Hradci Králové</t>
  </si>
  <si>
    <t>Farmaceutická fakulta</t>
  </si>
  <si>
    <t>Filozofická fakulta</t>
  </si>
  <si>
    <t>Přírodovědecká fakulta</t>
  </si>
  <si>
    <t>Matematicko-fyzikální fakulta</t>
  </si>
  <si>
    <t>Pedagogická fakulta</t>
  </si>
  <si>
    <t>Fakulta sociálních věd</t>
  </si>
  <si>
    <t>Fakulta tělesné výchovy a sportu</t>
  </si>
  <si>
    <t>Fakulta humanitních studií</t>
  </si>
  <si>
    <t>CERGE</t>
  </si>
  <si>
    <t>Ústav jazykové a odborné přípravy</t>
  </si>
  <si>
    <t>Rektorát Univerzity Karlovy</t>
  </si>
  <si>
    <t>Správa budov a zařízení</t>
  </si>
  <si>
    <t>Koleje a menzy</t>
  </si>
  <si>
    <r>
      <t xml:space="preserve">Druh podpory
</t>
    </r>
    <r>
      <rPr>
        <sz val="10"/>
        <color indexed="8"/>
        <rFont val="Calibri"/>
        <family val="2"/>
        <charset val="238"/>
      </rPr>
      <t>(dotační položky a ukazatele) (1)</t>
    </r>
  </si>
  <si>
    <t>Použité
zdroje
celkem</t>
  </si>
  <si>
    <t>ostatní:</t>
  </si>
  <si>
    <t>ostatní odbory MŠMT</t>
  </si>
  <si>
    <t xml:space="preserve">     Ministerstvo zdravotnictví</t>
  </si>
  <si>
    <t xml:space="preserve">     Ministerstvo kultury</t>
  </si>
  <si>
    <t xml:space="preserve">     Ministerstvo zemědělství</t>
  </si>
  <si>
    <t xml:space="preserve">     Ministerstvo zahraničních věcí</t>
  </si>
  <si>
    <t xml:space="preserve">     Kraje a MHMP</t>
  </si>
  <si>
    <t xml:space="preserve">     Evropská unie mimo evropské fondy</t>
  </si>
  <si>
    <t xml:space="preserve">     Zahraničí ostatní mimo EU</t>
  </si>
  <si>
    <t>Tabulka 5.b   Financování výzkumu a vývoje</t>
  </si>
  <si>
    <t>Druh podpory/název programu (1)</t>
  </si>
  <si>
    <t xml:space="preserve">     IP na dlouh. koncepční rozvoj výzk. organizací</t>
  </si>
  <si>
    <r>
      <t xml:space="preserve">         </t>
    </r>
    <r>
      <rPr>
        <i/>
        <sz val="10"/>
        <color indexed="8"/>
        <rFont val="Calibri"/>
        <family val="2"/>
        <charset val="238"/>
      </rPr>
      <t>v tom: Rámcové programy</t>
    </r>
  </si>
  <si>
    <t xml:space="preserve">     Ministerstva</t>
  </si>
  <si>
    <t xml:space="preserve">          Ministerstvo kultury</t>
  </si>
  <si>
    <t xml:space="preserve">          Ministerstvo zemědělství</t>
  </si>
  <si>
    <t xml:space="preserve">          Ministerstvo vnitra</t>
  </si>
  <si>
    <t xml:space="preserve">     Grantové agentury</t>
  </si>
  <si>
    <t xml:space="preserve">          GAČR</t>
  </si>
  <si>
    <t xml:space="preserve">          TAČR</t>
  </si>
  <si>
    <t xml:space="preserve">          AZV - MZ</t>
  </si>
  <si>
    <t xml:space="preserve">          obce a městské části</t>
  </si>
  <si>
    <t xml:space="preserve">          Kraje a MHMP</t>
  </si>
  <si>
    <t>Zahraničí ostatní mimo EU</t>
  </si>
  <si>
    <t>Poznámky:</t>
  </si>
  <si>
    <r>
      <t xml:space="preserve">VaV </t>
    </r>
    <r>
      <rPr>
        <sz val="8"/>
        <color indexed="8"/>
        <rFont val="Calibri"/>
        <family val="2"/>
        <charset val="238"/>
      </rPr>
      <t>(2)</t>
    </r>
  </si>
  <si>
    <r>
      <rPr>
        <sz val="8"/>
        <color indexed="8"/>
        <rFont val="Calibri"/>
        <family val="2"/>
        <charset val="238"/>
      </rPr>
      <t>(3)</t>
    </r>
    <r>
      <rPr>
        <sz val="10"/>
        <color indexed="8"/>
        <rFont val="Calibri"/>
        <family val="2"/>
        <charset val="238"/>
      </rPr>
      <t xml:space="preserve"> Uvedou se prostředky, které byly vysoké škole poskytnuty v daném roce na základě Rozhodnutí o poskytnutí dotace na přípravu a realizaci všech projektů uvedeného operačního programu a prioritní osy. </t>
    </r>
  </si>
  <si>
    <r>
      <rPr>
        <sz val="8"/>
        <color indexed="8"/>
        <rFont val="Calibri"/>
        <family val="2"/>
        <charset val="238"/>
      </rPr>
      <t>(7)</t>
    </r>
    <r>
      <rPr>
        <sz val="10"/>
        <color indexed="8"/>
        <rFont val="Calibri"/>
        <family val="2"/>
        <charset val="238"/>
      </rPr>
      <t xml:space="preserve"> Lze vyplnit, pokud se nejedná o poslední rok projektu.</t>
    </r>
  </si>
  <si>
    <t>Tabulka 6  Přehled vybraných výnosů</t>
  </si>
  <si>
    <t>Výnosy za rok (1)</t>
  </si>
  <si>
    <t>úplata za vzdělávání v mezinárodně uznávaném kursu (§ 60a)</t>
  </si>
  <si>
    <t>poplatek za úkony spojené s rigorózní zkouškou (§ 46; 5)</t>
  </si>
  <si>
    <t>úplata za používání zařízení pro přípravu k rigor. zk. (§ 46; 5)</t>
  </si>
  <si>
    <t>vystavení opisu dokladu o studiu</t>
  </si>
  <si>
    <t>vystavení cizojazyčného dokladu o studiu</t>
  </si>
  <si>
    <t>vystavení opisu dokladu vyhotoveného z archiválií</t>
  </si>
  <si>
    <t>Kontrola na tab. 11.c:</t>
  </si>
  <si>
    <r>
      <rPr>
        <sz val="8"/>
        <rFont val="Calibri"/>
        <family val="2"/>
        <charset val="238"/>
      </rPr>
      <t>(2)</t>
    </r>
    <r>
      <rPr>
        <sz val="10"/>
        <rFont val="Calibri"/>
        <family val="2"/>
        <charset val="238"/>
      </rPr>
      <t xml:space="preserve"> VŠ uvede počet studentů (resp. studií) nebo dalších účastníků vzdělávání, kteří poplatek/úhradu za další činosti zaplatili.</t>
    </r>
  </si>
  <si>
    <t>sl. "a" Celkem = vazba na stipendijní fond (Tab. 11.c)</t>
  </si>
  <si>
    <t>Tabulka 8   Pracovníci a mzdové prostředky</t>
  </si>
  <si>
    <r>
      <t>VaV z národních zdrojů</t>
    </r>
    <r>
      <rPr>
        <sz val="8"/>
        <rFont val="Calibri"/>
        <family val="2"/>
        <charset val="238"/>
      </rPr>
      <t xml:space="preserve"> (2)</t>
    </r>
  </si>
  <si>
    <t>mzdy (7)</t>
  </si>
  <si>
    <t>Tab. 8.b sloupec 6: Průměrná měsíční mzda z ostatních zdrojů rozpočtu VŠ není vyplněna, neboť ve sloupci 5 jsou v souladu s metodikou výkazu Škol P1b-04 zahrnuty i odměny z ostatních zdrojů rozpočtu VŠ těm pracovníkům, jejichž úvazky jsou započteny ve sloupci 1. Proto by vypočtená průměrná měsíční mzda neodpovídala skutečnosti.</t>
  </si>
  <si>
    <r>
      <t xml:space="preserve">Počet pracovníků </t>
    </r>
    <r>
      <rPr>
        <sz val="8"/>
        <rFont val="Calibri"/>
        <family val="2"/>
        <charset val="238"/>
      </rPr>
      <t>(3)</t>
    </r>
  </si>
  <si>
    <r>
      <t xml:space="preserve">akademičtí pracovníci </t>
    </r>
    <r>
      <rPr>
        <sz val="8"/>
        <rFont val="Calibri"/>
        <family val="2"/>
        <charset val="238"/>
      </rPr>
      <t>(4)</t>
    </r>
  </si>
  <si>
    <t>-</t>
  </si>
  <si>
    <t>ped. prac. VVI</t>
  </si>
  <si>
    <r>
      <t xml:space="preserve">vědečtí pracovníci </t>
    </r>
    <r>
      <rPr>
        <sz val="8"/>
        <rFont val="Calibri"/>
        <family val="2"/>
        <charset val="238"/>
      </rPr>
      <t>(5)</t>
    </r>
  </si>
  <si>
    <r>
      <t xml:space="preserve">ostatní </t>
    </r>
    <r>
      <rPr>
        <sz val="8"/>
        <rFont val="Calibri"/>
        <family val="2"/>
        <charset val="238"/>
      </rPr>
      <t>(6)</t>
    </r>
  </si>
  <si>
    <r>
      <rPr>
        <sz val="8"/>
        <color indexed="8"/>
        <rFont val="Calibri"/>
        <family val="2"/>
        <charset val="238"/>
      </rPr>
      <t>(3)</t>
    </r>
    <r>
      <rPr>
        <sz val="10"/>
        <color indexed="8"/>
        <rFont val="Calibri"/>
        <family val="2"/>
        <charset val="238"/>
      </rPr>
      <t xml:space="preserve"> Počet pracovníků = průměrný počet zaměstnanců přepočtený na plný úvazek (full-time equivalent). Zahrnuje počty zaměstnanců v jednotlivých kategoriích za celý sledovaný rok přepočtené na zaměstnance s plným pracovním úvazkem.  Počet pracovníků ve sl.1 je odvozený od mzdových prostředků hrazených z kapitoly 333-MŠMT; ve sl. 4 je odvozený od mzdových prostředků hrazených z ostatních zdrojů rozpočtu VŠ.</t>
    </r>
  </si>
  <si>
    <r>
      <rPr>
        <sz val="8"/>
        <color indexed="8"/>
        <rFont val="Calibri"/>
        <family val="2"/>
        <charset val="238"/>
      </rPr>
      <t>(4)</t>
    </r>
    <r>
      <rPr>
        <sz val="10"/>
        <color indexed="8"/>
        <rFont val="Calibri"/>
        <family val="2"/>
        <charset val="238"/>
      </rPr>
      <t xml:space="preserve"> Jedná se o pracovníky VŠ, kteří jsou vnitřním předpisem VŠ zařazeni mezi akademické pracovníky. Zároveň platí, že se v rámci svého úvazku věnují pedagogické nebo vědecké činnosti; není možné mezi akademické pracovníky zařadit vědecké pracovníky, kteří na VŠ pouze vědecky pracují a nevyučují. Vědečtí, výzkumní a vývojoví pracovníci podílející se na pedag.činnosti budou započteni do vyznačených kategorií akad.pracovníků.
Pokud VŠ v rámci svých vnitřních předpisů eviduje i jiné kategorie akademických pracovníků, doplní řádek "ostatní" a v komentáři blíže vysvětlí, o jaké pracovníky se jedná. Výčet v jednotlivých kategoriách (řádcích) akademických pracovníků se nesmí překrývat, celkový součet musí odpovídat skutečným přepočteným "full-time" akademickým pracovníkům. Celkový součet za kategorii akademických pracovníků a vědeckých pracovníků musí souhlasit s údajem vykázaným ve výroční zprávě o činnosti v tabulce 7.1.</t>
    </r>
  </si>
  <si>
    <r>
      <rPr>
        <sz val="8"/>
        <color indexed="8"/>
        <rFont val="Calibri"/>
        <family val="2"/>
        <charset val="238"/>
      </rPr>
      <t>(6)</t>
    </r>
    <r>
      <rPr>
        <sz val="10"/>
        <color indexed="8"/>
        <rFont val="Calibri"/>
        <family val="2"/>
        <charset val="238"/>
      </rPr>
      <t xml:space="preserve"> Úvazky pracovníků, v nichž se zaměstnanci VŠ nevěnují pedag.ani vědecké činnosti; jde zejména o technicko-hospodářské pracovníky, provozní a obchodně provozní pracovníky, zdravotní a ostatní pracovníky, atp.</t>
    </r>
  </si>
  <si>
    <t>Vlastní prostředky</t>
  </si>
  <si>
    <t>Projekty ČR</t>
  </si>
  <si>
    <t>Projekty EU</t>
  </si>
  <si>
    <t>Projekty mimo EU</t>
  </si>
  <si>
    <t>ERASMUS</t>
  </si>
  <si>
    <t>Vládní stipendia</t>
  </si>
  <si>
    <t>z toho (1)</t>
  </si>
  <si>
    <t>Ostatní (sport, repre)</t>
  </si>
  <si>
    <t>Účelová stipendia jinde neuvedená</t>
  </si>
  <si>
    <r>
      <rPr>
        <b/>
        <sz val="18"/>
        <rFont val="Calibri"/>
        <family val="2"/>
        <charset val="238"/>
      </rPr>
      <t>Tab. 8.a:    Pracovníci a mzdové prostředky</t>
    </r>
    <r>
      <rPr>
        <b/>
        <sz val="12"/>
        <rFont val="Calibri"/>
        <family val="2"/>
        <charset val="238"/>
      </rPr>
      <t xml:space="preserve"> </t>
    </r>
    <r>
      <rPr>
        <sz val="12"/>
        <rFont val="Calibri"/>
        <family val="2"/>
        <charset val="238"/>
      </rPr>
      <t>(dle zdroje financování mzdy a OON) (1)</t>
    </r>
  </si>
  <si>
    <r>
      <rPr>
        <b/>
        <sz val="18"/>
        <rFont val="Calibri"/>
        <family val="2"/>
        <charset val="238"/>
      </rPr>
      <t>Tab. 8.b:    Pracovníci a mzdové prostředky</t>
    </r>
    <r>
      <rPr>
        <b/>
        <sz val="12"/>
        <rFont val="Calibri"/>
        <family val="2"/>
        <charset val="238"/>
      </rPr>
      <t xml:space="preserve"> </t>
    </r>
    <r>
      <rPr>
        <sz val="12"/>
        <rFont val="Calibri"/>
        <family val="2"/>
        <charset val="238"/>
      </rPr>
      <t>(bez OON)</t>
    </r>
  </si>
  <si>
    <t xml:space="preserve">43 KaM Právnická </t>
  </si>
  <si>
    <t>43 KaM Albertov</t>
  </si>
  <si>
    <t>43 KaM Budeč</t>
  </si>
  <si>
    <t>43 KaM Troja</t>
  </si>
  <si>
    <r>
      <rPr>
        <sz val="8"/>
        <rFont val="Calibri"/>
        <family val="2"/>
        <charset val="238"/>
      </rPr>
      <t>(2)</t>
    </r>
    <r>
      <rPr>
        <sz val="10"/>
        <rFont val="Calibri"/>
        <family val="2"/>
        <charset val="238"/>
      </rPr>
      <t xml:space="preserve"> V případě, že výnosy od zaměstnnanců škola vede v doplňkové činnosti, zahrne tyto prostředky do sl. "j"a výši těchto výnosů konkrétně uvede v komentáři</t>
    </r>
  </si>
  <si>
    <r>
      <rPr>
        <sz val="8"/>
        <rFont val="Calibri"/>
        <family val="2"/>
        <charset val="238"/>
      </rPr>
      <t>(3)</t>
    </r>
    <r>
      <rPr>
        <sz val="10"/>
        <rFont val="Calibri"/>
        <family val="2"/>
        <charset val="238"/>
      </rPr>
      <t xml:space="preserve"> V případě získání prostředků na činnost v oblasti stravování z jiných veřejných zdrojů než prostředků kap. 333, VŠ uvede tuto skutečnost do sl "f" a pod tabulkou stručně upřesní, o co se jedná.</t>
    </r>
  </si>
  <si>
    <r>
      <t xml:space="preserve">od zaměstnanců </t>
    </r>
    <r>
      <rPr>
        <sz val="8"/>
        <rFont val="Calibri"/>
        <family val="2"/>
        <charset val="238"/>
      </rPr>
      <t>(2)</t>
    </r>
  </si>
  <si>
    <t>16 FTVS kolej + hostel</t>
  </si>
  <si>
    <t>31 ÚJOP Poděbrady</t>
  </si>
  <si>
    <t>43 KaM k. Jednota</t>
  </si>
  <si>
    <t>43 KaM k. Budeč</t>
  </si>
  <si>
    <t>43 KaM k. Švehlova</t>
  </si>
  <si>
    <t>43 KaM k. Větrník</t>
  </si>
  <si>
    <t>43 KaM k. Hvězda</t>
  </si>
  <si>
    <t>43 KaM k. Kajetánka</t>
  </si>
  <si>
    <t>43 KaM k. Komenského</t>
  </si>
  <si>
    <t>43 KaM k. Nová</t>
  </si>
  <si>
    <t>43 KaM k. 17. listopadu</t>
  </si>
  <si>
    <t>43 KaM k. Hostivař</t>
  </si>
  <si>
    <t>43 KaM k. Palachova</t>
  </si>
  <si>
    <r>
      <rPr>
        <sz val="8"/>
        <rFont val="Calibri"/>
        <family val="2"/>
        <charset val="238"/>
      </rPr>
      <t>(3)</t>
    </r>
    <r>
      <rPr>
        <sz val="10"/>
        <rFont val="Calibri"/>
        <family val="2"/>
        <charset val="238"/>
      </rPr>
      <t xml:space="preserve"> V případě získání prostředků na činnost v oblasti ubytování z jiných veřejných zdrojů než prostředků kap. 333, VŠ uvede tuto skutečnost do sl "g" a pod tabulkou stručně upřesní, o co se jedná.</t>
    </r>
  </si>
  <si>
    <r>
      <t xml:space="preserve">Menzy a ostatní stravovací zařízení, pro která vydalo souhlas MŠMT </t>
    </r>
    <r>
      <rPr>
        <sz val="8"/>
        <rFont val="Calibri"/>
        <family val="2"/>
        <charset val="238"/>
      </rPr>
      <t>(1)</t>
    </r>
  </si>
  <si>
    <r>
      <t xml:space="preserve">Koleje a ostatní ubytovací zařízení provozované VVŠ </t>
    </r>
    <r>
      <rPr>
        <sz val="8"/>
        <rFont val="Calibri"/>
        <family val="2"/>
        <charset val="238"/>
      </rPr>
      <t>(1)</t>
    </r>
  </si>
  <si>
    <t>z toho příděl ze zisku</t>
  </si>
  <si>
    <t>Součet počátečních stavů fondů k 1. 1. roku (pole a1) se rovná  údaji z řádku 0089 sl. 1 tab. 1 - Rozvaha</t>
  </si>
  <si>
    <t>Součet koncových stavů fondů k 31. 12. roku (pole e1) se rovná  údaji z řádku 0089 sl. 2 tab. 1 - Rozvaha</t>
  </si>
  <si>
    <t>Tabulka 11.a   Rezervní fond</t>
  </si>
  <si>
    <t>ze zisku</t>
  </si>
  <si>
    <r>
      <rPr>
        <sz val="8"/>
        <rFont val="Calibri"/>
        <family val="2"/>
        <charset val="238"/>
      </rPr>
      <t>(1)</t>
    </r>
    <r>
      <rPr>
        <sz val="10"/>
        <rFont val="Calibri"/>
        <family val="2"/>
        <charset val="238"/>
      </rPr>
      <t xml:space="preserve"> V případě použití tohoto řádku, VŠ blíže specifikuje.</t>
    </r>
  </si>
  <si>
    <t>Tabulka 11.b   Fond reprodukce investičního majetku</t>
  </si>
  <si>
    <t>ze  zisku</t>
  </si>
  <si>
    <t>Tabulka 11.c   Stipendijní fond</t>
  </si>
  <si>
    <r>
      <t xml:space="preserve">poplatky za studium dle § 58 zákona 111/1998 Sb. </t>
    </r>
    <r>
      <rPr>
        <sz val="10"/>
        <color indexed="8"/>
        <rFont val="Calibri"/>
        <family val="2"/>
        <charset val="238"/>
      </rPr>
      <t>(1)</t>
    </r>
  </si>
  <si>
    <r>
      <rPr>
        <sz val="8"/>
        <rFont val="Calibri"/>
        <family val="2"/>
        <charset val="238"/>
      </rPr>
      <t>(2)</t>
    </r>
    <r>
      <rPr>
        <sz val="10"/>
        <rFont val="Calibri"/>
        <family val="2"/>
        <charset val="238"/>
      </rPr>
      <t xml:space="preserve"> V případě použití tohoto řádku, VŠ blíže specifikuje.</t>
    </r>
  </si>
  <si>
    <t>Tabulka 11.d   Fond odměn</t>
  </si>
  <si>
    <t>Tabulka 11.e   Fond účelově určených prostředků</t>
  </si>
  <si>
    <t>Tabulka 11.f   Fond sociální</t>
  </si>
  <si>
    <t>na penzijní připojištění zaměstnance</t>
  </si>
  <si>
    <t>na životní pojištění zaměstnance</t>
  </si>
  <si>
    <t>nevratná sociální výpomoc</t>
  </si>
  <si>
    <t>udržení nebo zlepšení zdravotního stavu zaměstnanců</t>
  </si>
  <si>
    <t>příspěvek na částečné krytí úplaty za předškolní vzdělávání v MŠ</t>
  </si>
  <si>
    <t>ostatní čerpání</t>
  </si>
  <si>
    <t>Tabulka 11.g   Fond provozních prostředků</t>
  </si>
  <si>
    <t>Náklady</t>
  </si>
  <si>
    <t>v gesci MŠMT</t>
  </si>
  <si>
    <r>
      <t xml:space="preserve">z toho zdroje EU </t>
    </r>
    <r>
      <rPr>
        <b/>
        <sz val="10"/>
        <color indexed="8"/>
        <rFont val="Calibri"/>
        <family val="2"/>
        <charset val="238"/>
      </rPr>
      <t>v %</t>
    </r>
    <r>
      <rPr>
        <sz val="8"/>
        <color indexed="8"/>
        <rFont val="Calibri"/>
        <family val="2"/>
        <charset val="238"/>
      </rPr>
      <t xml:space="preserve"> </t>
    </r>
    <r>
      <rPr>
        <sz val="10"/>
        <color indexed="8"/>
        <rFont val="Calibri"/>
        <family val="2"/>
        <charset val="238"/>
      </rPr>
      <t>(5)</t>
    </r>
  </si>
  <si>
    <t>PO 1 - Podpora zaměstnanosti a adaptability pracovní síly</t>
  </si>
  <si>
    <t>v tis. Kč</t>
  </si>
  <si>
    <r>
      <t xml:space="preserve">Tabulka 10   Neinvestiční náklady a výnosy - Koleje a menzy </t>
    </r>
    <r>
      <rPr>
        <sz val="20"/>
        <rFont val="Calibri"/>
        <family val="2"/>
        <charset val="238"/>
      </rPr>
      <t>(KaM)</t>
    </r>
  </si>
  <si>
    <t>v tis.Kč</t>
  </si>
  <si>
    <t>poskytování nadstandardních služeb v souvislosti s využíváním počítačové sítě UK</t>
  </si>
  <si>
    <r>
      <t xml:space="preserve">Úhrada za další činnosti poskytované vysokou školou </t>
    </r>
    <r>
      <rPr>
        <sz val="8"/>
        <rFont val="Calibri"/>
        <family val="2"/>
        <charset val="238"/>
      </rPr>
      <t>(4) (5)</t>
    </r>
  </si>
  <si>
    <t>vystavení duplikátu pro přístup do počítačových sítí (např. vstupní počítačové heslo) a duplikátu prostředku pro vstup do objektu (např. čipová karta) tam, kde nelze využívat průkazu studenta</t>
  </si>
  <si>
    <t>vazba dokumentů</t>
  </si>
  <si>
    <t>úkony spojené s meziknihovní výpůjční službou (MVS) a mezinárodní meziknihovní výpůjční službou (MMVS)</t>
  </si>
  <si>
    <t>úkony za odeslání SMS zprávy z knihovního systému</t>
  </si>
  <si>
    <t>prodej informačních brožur (povinnost jejich nákupu nelze od studentů vyžadovat)</t>
  </si>
  <si>
    <t>vybrané poradenské služby (např. diagnostika apod.) v poradnách a poradenských centrech</t>
  </si>
  <si>
    <r>
      <rPr>
        <sz val="8"/>
        <rFont val="Calibri"/>
        <family val="2"/>
        <charset val="238"/>
      </rPr>
      <t>(3)</t>
    </r>
    <r>
      <rPr>
        <sz val="10"/>
        <rFont val="Calibri"/>
        <family val="2"/>
        <charset val="238"/>
      </rPr>
      <t xml:space="preserve"> Položku v každém řádku sloupce "a" vydělí VŠ počtem studentů /účastníků vzdělávání ve sloupci "c". Pokud existuje jednotková sazba, stačí zde uvést tuto. </t>
    </r>
  </si>
  <si>
    <r>
      <rPr>
        <sz val="8"/>
        <rFont val="Calibri"/>
        <family val="2"/>
        <charset val="238"/>
      </rPr>
      <t>(4)</t>
    </r>
    <r>
      <rPr>
        <sz val="10"/>
        <rFont val="Calibri"/>
        <family val="2"/>
        <charset val="238"/>
      </rPr>
      <t xml:space="preserve"> Jedná se o činnosti související se studiem jiné než podle § 58 zák.111/1998 Sb.</t>
    </r>
  </si>
  <si>
    <r>
      <rPr>
        <sz val="8"/>
        <rFont val="Calibri"/>
        <family val="2"/>
        <charset val="238"/>
      </rPr>
      <t>(5)</t>
    </r>
    <r>
      <rPr>
        <sz val="10"/>
        <rFont val="Calibri"/>
        <family val="2"/>
        <charset val="238"/>
      </rPr>
      <t xml:space="preserve"> V přehledu nejsou z logiky věci uvedeny úhrady za tisk a kopírování, za rešeršní a obdobné služby v knihovnách a za úkony spojené s překročením knihovního řádu. Tyto úhrady jsou vybírány pouze na základě kalkulace (viz opatření rektora č. 24/2017). Dále z logiky věci nejsou uvedeny poplatky za ISIC, poplatky za duplikáty zaměstnaneckých průkazů, poplatky za ITIC, ALIVE apod.</t>
    </r>
  </si>
  <si>
    <r>
      <rPr>
        <sz val="8"/>
        <rFont val="Calibri"/>
        <family val="2"/>
        <charset val="238"/>
      </rPr>
      <t>(1)</t>
    </r>
    <r>
      <rPr>
        <sz val="10"/>
        <rFont val="Calibri"/>
        <family val="2"/>
        <charset val="238"/>
      </rPr>
      <t xml:space="preserve"> VVŠ uvede, jaké další zdroje použila k financování stipendií.</t>
    </r>
  </si>
  <si>
    <t xml:space="preserve">zůstat.cena nehm. a hmot.dlouhod. majetku </t>
  </si>
  <si>
    <t>h*</t>
  </si>
  <si>
    <t>(tis. Kč)</t>
  </si>
  <si>
    <t>(v tis. Kč)</t>
  </si>
  <si>
    <t>MPSV-OPZ</t>
  </si>
  <si>
    <t>Nevyčerp. z poskyt.veř. pr. v roce
(7)</t>
  </si>
  <si>
    <t>Vratka nevyčerp. prostř.
(8)</t>
  </si>
  <si>
    <t>Ost.použ. zdroje celk.
(9)</t>
  </si>
  <si>
    <r>
      <t xml:space="preserve">Tabulka 5   Veřejné zdroje financování VVŠ: prostředky poskytnuté a prostředky použité </t>
    </r>
    <r>
      <rPr>
        <sz val="20"/>
        <rFont val="Calibri"/>
        <family val="2"/>
        <charset val="238"/>
      </rPr>
      <t>(1)</t>
    </r>
  </si>
  <si>
    <r>
      <t xml:space="preserve">Transfer znalostí </t>
    </r>
    <r>
      <rPr>
        <b/>
        <sz val="8"/>
        <rFont val="Calibri"/>
        <family val="2"/>
        <charset val="238"/>
      </rPr>
      <t>(1)</t>
    </r>
  </si>
  <si>
    <r>
      <t xml:space="preserve">    </t>
    </r>
    <r>
      <rPr>
        <b/>
        <sz val="12"/>
        <rFont val="Calibri"/>
        <family val="2"/>
        <charset val="238"/>
      </rPr>
      <t>Celkem</t>
    </r>
    <r>
      <rPr>
        <b/>
        <sz val="10"/>
        <rFont val="Calibri"/>
        <family val="2"/>
        <charset val="238"/>
      </rPr>
      <t xml:space="preserve"> (5)</t>
    </r>
  </si>
  <si>
    <r>
      <t xml:space="preserve">Počet studentů
</t>
    </r>
    <r>
      <rPr>
        <sz val="8"/>
        <rFont val="Calibri"/>
        <family val="2"/>
        <charset val="238"/>
      </rPr>
      <t>(2)</t>
    </r>
  </si>
  <si>
    <t>Nakladatelství Karolinum</t>
  </si>
  <si>
    <t xml:space="preserve">     Ministerstvo pro místní rozvoj</t>
  </si>
  <si>
    <t>Ostatní prostředky</t>
  </si>
  <si>
    <t>Zahraniční VŠ, nadace a jiná spolupráce mimo EU</t>
  </si>
  <si>
    <t xml:space="preserve">          Horizont 2020</t>
  </si>
  <si>
    <t xml:space="preserve">          Ostatní projekty EU mimo Evropské fondy</t>
  </si>
  <si>
    <t xml:space="preserve">          Zahraniční VŠ, nadace a jiná spolupráce mimo EU</t>
  </si>
  <si>
    <r>
      <t xml:space="preserve">Prostředky z veřejných zdrojů (dotace a příspěvky) národní i zahraniční  </t>
    </r>
    <r>
      <rPr>
        <b/>
        <sz val="8"/>
        <rFont val="Calibri"/>
        <family val="2"/>
        <charset val="238"/>
      </rPr>
      <t>(ř.2+ř.27)</t>
    </r>
  </si>
  <si>
    <r>
      <t xml:space="preserve">získané přes kapitolu MŠMT  </t>
    </r>
    <r>
      <rPr>
        <sz val="8"/>
        <rFont val="Calibri"/>
        <family val="2"/>
        <charset val="238"/>
      </rPr>
      <t>(ř.4+ř.7)</t>
    </r>
  </si>
  <si>
    <r>
      <t xml:space="preserve">dotace na programy strukturálních fondů </t>
    </r>
    <r>
      <rPr>
        <sz val="8"/>
        <rFont val="Calibri"/>
        <family val="2"/>
        <charset val="238"/>
      </rPr>
      <t xml:space="preserve">(3) </t>
    </r>
    <r>
      <rPr>
        <sz val="8"/>
        <rFont val="Calibri"/>
        <family val="2"/>
        <charset val="238"/>
      </rPr>
      <t xml:space="preserve"> (ř.5+ř.6)</t>
    </r>
  </si>
  <si>
    <r>
      <t xml:space="preserve">dotace ostatní  </t>
    </r>
    <r>
      <rPr>
        <sz val="8"/>
        <rFont val="Calibri"/>
        <family val="2"/>
        <charset val="238"/>
      </rPr>
      <t>(ř.8+ř.12)</t>
    </r>
  </si>
  <si>
    <r>
      <t xml:space="preserve">dotace spojené se vzdělávací činností  </t>
    </r>
    <r>
      <rPr>
        <sz val="8"/>
        <rFont val="Calibri"/>
        <family val="2"/>
        <charset val="238"/>
      </rPr>
      <t>(ř.9+ř.10+ř.11)</t>
    </r>
  </si>
  <si>
    <r>
      <t xml:space="preserve">získané přes ostatní kapitoly státního rozpočtu  </t>
    </r>
    <r>
      <rPr>
        <sz val="8"/>
        <rFont val="Calibri"/>
        <family val="2"/>
        <charset val="238"/>
      </rPr>
      <t>(ř.14+ř.17)</t>
    </r>
  </si>
  <si>
    <r>
      <t xml:space="preserve">dotace na operační programy EU  </t>
    </r>
    <r>
      <rPr>
        <sz val="8"/>
        <rFont val="Calibri"/>
        <family val="2"/>
        <charset val="238"/>
      </rPr>
      <t>(ř.15+ř.16)</t>
    </r>
  </si>
  <si>
    <r>
      <t xml:space="preserve">dotace ostatní  </t>
    </r>
    <r>
      <rPr>
        <sz val="8"/>
        <rFont val="Calibri"/>
        <family val="2"/>
        <charset val="238"/>
      </rPr>
      <t>(ř.18+ř.19)</t>
    </r>
  </si>
  <si>
    <r>
      <t xml:space="preserve">získané přes územní rozpočty  </t>
    </r>
    <r>
      <rPr>
        <sz val="8"/>
        <rFont val="Calibri"/>
        <family val="2"/>
        <charset val="238"/>
      </rPr>
      <t>(ř.21+ř.24)</t>
    </r>
  </si>
  <si>
    <r>
      <t xml:space="preserve">dotace na operační programy EU  </t>
    </r>
    <r>
      <rPr>
        <sz val="8"/>
        <rFont val="Calibri"/>
        <family val="2"/>
        <charset val="238"/>
      </rPr>
      <t>(ř.22+ř.23)</t>
    </r>
  </si>
  <si>
    <r>
      <t xml:space="preserve">dotace ostatní  </t>
    </r>
    <r>
      <rPr>
        <sz val="8"/>
        <rFont val="Calibri"/>
        <family val="2"/>
        <charset val="238"/>
      </rPr>
      <t>(ř.25+ř.26)</t>
    </r>
  </si>
  <si>
    <r>
      <t xml:space="preserve">v tom: </t>
    </r>
    <r>
      <rPr>
        <b/>
        <sz val="10"/>
        <rFont val="Calibri"/>
        <family val="2"/>
        <charset val="238"/>
      </rPr>
      <t xml:space="preserve">2. veřejné prostředky ze zahraničí </t>
    </r>
    <r>
      <rPr>
        <sz val="10"/>
        <rFont val="Calibri"/>
        <family val="2"/>
        <charset val="238"/>
      </rPr>
      <t xml:space="preserve">(získané přímo VVŠ)  </t>
    </r>
    <r>
      <rPr>
        <sz val="8"/>
        <rFont val="Calibri"/>
        <family val="2"/>
        <charset val="238"/>
      </rPr>
      <t>(ř.28+ř.29)</t>
    </r>
  </si>
  <si>
    <r>
      <t xml:space="preserve">SOUHRN 1 </t>
    </r>
    <r>
      <rPr>
        <sz val="8"/>
        <rFont val="Calibri"/>
        <family val="2"/>
        <charset val="238"/>
      </rPr>
      <t>(4)  (ř.31+ř.36)</t>
    </r>
  </si>
  <si>
    <r>
      <t xml:space="preserve">dotace spojené se vzdělávací činností  </t>
    </r>
    <r>
      <rPr>
        <sz val="8"/>
        <rFont val="Calibri"/>
        <family val="2"/>
        <charset val="238"/>
      </rPr>
      <t>(ř.32+ř.33+ř.34+ř.35)</t>
    </r>
  </si>
  <si>
    <r>
      <t xml:space="preserve">získané přes kapitolu MŠMT  </t>
    </r>
    <r>
      <rPr>
        <sz val="8"/>
        <rFont val="Calibri"/>
        <family val="2"/>
        <charset val="238"/>
      </rPr>
      <t>(ř.5+ř.8)</t>
    </r>
  </si>
  <si>
    <r>
      <t xml:space="preserve">získané přes ostatní kapitoly státního rozpočtu </t>
    </r>
    <r>
      <rPr>
        <sz val="8"/>
        <rFont val="Calibri"/>
        <family val="2"/>
        <charset val="238"/>
      </rPr>
      <t xml:space="preserve"> (ř.15+ř.18)</t>
    </r>
  </si>
  <si>
    <r>
      <t xml:space="preserve">získané přes územní rozpočty  </t>
    </r>
    <r>
      <rPr>
        <sz val="8"/>
        <rFont val="Calibri"/>
        <family val="2"/>
        <charset val="238"/>
      </rPr>
      <t xml:space="preserve"> (ř.22+ř.25)</t>
    </r>
  </si>
  <si>
    <r>
      <t xml:space="preserve">veřejné prostředky ze zahraničí (získané přímo VVŠ) </t>
    </r>
    <r>
      <rPr>
        <sz val="8"/>
        <rFont val="Calibri"/>
        <family val="2"/>
        <charset val="238"/>
      </rPr>
      <t xml:space="preserve"> (ř.28)</t>
    </r>
  </si>
  <si>
    <r>
      <t xml:space="preserve">dotace na VaV  </t>
    </r>
    <r>
      <rPr>
        <sz val="8"/>
        <rFont val="Calibri"/>
        <family val="2"/>
        <charset val="238"/>
      </rPr>
      <t>(ř.37+ř.38+ř.39+ř.40)</t>
    </r>
  </si>
  <si>
    <r>
      <t xml:space="preserve">získané přes kapitolu MŠMT  </t>
    </r>
    <r>
      <rPr>
        <sz val="8"/>
        <rFont val="Calibri"/>
        <family val="2"/>
        <charset val="238"/>
      </rPr>
      <t>(ř.6+ř.12)</t>
    </r>
  </si>
  <si>
    <r>
      <t xml:space="preserve">získané přes ostatní kapitoly státního rozpočtu  </t>
    </r>
    <r>
      <rPr>
        <sz val="8"/>
        <rFont val="Calibri"/>
        <family val="2"/>
        <charset val="238"/>
      </rPr>
      <t>(ř.16+ř.19)</t>
    </r>
  </si>
  <si>
    <r>
      <t xml:space="preserve">získané přes územní rozpočty </t>
    </r>
    <r>
      <rPr>
        <sz val="8"/>
        <rFont val="Calibri"/>
        <family val="2"/>
        <charset val="238"/>
      </rPr>
      <t>(ř.23+ř.26)</t>
    </r>
  </si>
  <si>
    <r>
      <t xml:space="preserve">veřejné prostředky ze zahraničí (získané přímo VVŠ) </t>
    </r>
    <r>
      <rPr>
        <sz val="8"/>
        <rFont val="Calibri"/>
        <family val="2"/>
        <charset val="238"/>
      </rPr>
      <t>(ř.29)</t>
    </r>
  </si>
  <si>
    <r>
      <t xml:space="preserve">SOUHRN 2  </t>
    </r>
    <r>
      <rPr>
        <b/>
        <sz val="8"/>
        <rFont val="Calibri"/>
        <family val="2"/>
        <charset val="238"/>
      </rPr>
      <t>(ř.42+ř.46)</t>
    </r>
  </si>
  <si>
    <r>
      <t xml:space="preserve">dotace spojené se vzdělávací činností  </t>
    </r>
    <r>
      <rPr>
        <sz val="8"/>
        <rFont val="Calibri"/>
        <family val="2"/>
        <charset val="238"/>
      </rPr>
      <t>(ř.43+ř.44+ř.45)</t>
    </r>
  </si>
  <si>
    <r>
      <t xml:space="preserve">dotace na programy strukturálních fondů </t>
    </r>
    <r>
      <rPr>
        <sz val="8"/>
        <rFont val="Calibri"/>
        <family val="2"/>
        <charset val="238"/>
      </rPr>
      <t>(ř.5+ř.15+ř.22)</t>
    </r>
  </si>
  <si>
    <r>
      <t xml:space="preserve">dotace ostatní  </t>
    </r>
    <r>
      <rPr>
        <sz val="8"/>
        <rFont val="Calibri"/>
        <family val="2"/>
        <charset val="238"/>
      </rPr>
      <t>(ř.8+ř.18+ř.25)</t>
    </r>
  </si>
  <si>
    <r>
      <t xml:space="preserve">veřejné prostředky ze zahraničí (získané přímo VVŠ)  </t>
    </r>
    <r>
      <rPr>
        <sz val="8"/>
        <rFont val="Calibri"/>
        <family val="2"/>
        <charset val="238"/>
      </rPr>
      <t>(ř.28)</t>
    </r>
  </si>
  <si>
    <r>
      <t xml:space="preserve">dotace na VaV </t>
    </r>
    <r>
      <rPr>
        <sz val="8"/>
        <rFont val="Calibri"/>
        <family val="2"/>
        <charset val="238"/>
      </rPr>
      <t xml:space="preserve"> (ř.47+ř.48+ř.49)</t>
    </r>
  </si>
  <si>
    <r>
      <t>dotace na programy strukturálních fondů</t>
    </r>
    <r>
      <rPr>
        <sz val="8"/>
        <rFont val="Calibri"/>
        <family val="2"/>
        <charset val="238"/>
      </rPr>
      <t xml:space="preserve">  (ř.6+ř.16+ř.23)</t>
    </r>
  </si>
  <si>
    <r>
      <t xml:space="preserve">dotace ostatní </t>
    </r>
    <r>
      <rPr>
        <sz val="8"/>
        <rFont val="Calibri"/>
        <family val="2"/>
        <charset val="238"/>
      </rPr>
      <t xml:space="preserve"> (ř.12+ř.19+ř.26)</t>
    </r>
  </si>
  <si>
    <r>
      <t xml:space="preserve">veřejné prostředky ze zahraničí (získané přímo VVŠ)   </t>
    </r>
    <r>
      <rPr>
        <sz val="8"/>
        <rFont val="Calibri"/>
        <family val="2"/>
        <charset val="238"/>
      </rPr>
      <t>(ř.29)</t>
    </r>
  </si>
  <si>
    <t>v tab.</t>
  </si>
  <si>
    <r>
      <t>použité</t>
    </r>
    <r>
      <rPr>
        <sz val="8"/>
        <color indexed="8"/>
        <rFont val="Calibri"/>
        <family val="2"/>
        <charset val="238"/>
      </rPr>
      <t xml:space="preserve"> (3)</t>
    </r>
  </si>
  <si>
    <t>č.5</t>
  </si>
  <si>
    <t xml:space="preserve">    Obce a městské části</t>
  </si>
  <si>
    <t>Evropská komise</t>
  </si>
  <si>
    <r>
      <rPr>
        <sz val="8"/>
        <color indexed="8"/>
        <rFont val="Calibri"/>
        <family val="2"/>
        <charset val="238"/>
      </rPr>
      <t>(1)</t>
    </r>
    <r>
      <rPr>
        <sz val="10"/>
        <color indexed="8"/>
        <rFont val="Calibri"/>
        <family val="2"/>
        <charset val="238"/>
      </rPr>
      <t xml:space="preserve"> Součtové údaje ve sloupcích a-f se automaticky přenášejí do souhrnné tabulky č. 5. Součtový údaj za příspěvek MŠMT = Tab. 5, ř.9; za dotace MŠMT = Tab. 5, ř. 11; za dotace ostatních kapitol státního rozpočtu = Tab. 5, ř.18; za územní rozpočty = Tab. 5, ř.25; za prostředky ze zahraničí = Tab. 5, ř.28. Tabulka je tříděna podle poskytovatele, za každého poskytovatele VŠ vždy uvede součtový údaj (předpokládá se, že příspěvek poskytuje vysoké škole pouze MŠMT, v ostatních případech se bude jednat o dotaci). U každého poskytovatele pak budou uvedeny v řádcích zdroje z jednotlivých programů, které VŠ získala (nejpodrobnější údaj bude na úrovni programu, není třeba vyplňovat tabulku na úroveň projektů). </t>
    </r>
    <r>
      <rPr>
        <sz val="10"/>
        <color indexed="8"/>
        <rFont val="Calibri"/>
        <family val="2"/>
        <charset val="238"/>
      </rPr>
      <t>Pokud škola realizuje vzdělávací projekt/program financovaný pouze z neveřejných zdrojů, realizuje aktivity v rámci doplňkové činnosti za úplatu, apod., do této tabulky je uvádět v řádcích nebude.</t>
    </r>
  </si>
  <si>
    <r>
      <rPr>
        <sz val="8"/>
        <color indexed="8"/>
        <rFont val="Calibri"/>
        <family val="2"/>
        <charset val="238"/>
      </rPr>
      <t>(3)</t>
    </r>
    <r>
      <rPr>
        <sz val="10"/>
        <color indexed="8"/>
        <rFont val="Calibri"/>
        <family val="2"/>
        <charset val="238"/>
      </rPr>
      <t xml:space="preserve"> Použito: jedná se o finanční prostředky, které VVŠ v daném kalendářním roce použila na účel v souladu s rozhodnutím (sloupec b, d, f). Pokud by škola používala veřejné prostředky institucionálního charakteru (např. příspěvek) k dofinancování programů/aktivit uvedených v dalších řádcích této tabulky nebo projektů zde neuvedených, takové použití pro jiný účel financovaný z veřejných zdrojů je nutné specifikovat v komentáři.</t>
    </r>
  </si>
  <si>
    <r>
      <t xml:space="preserve">z toho na základě fin. vypořádání </t>
    </r>
    <r>
      <rPr>
        <sz val="8"/>
        <color indexed="8"/>
        <rFont val="Calibri"/>
        <family val="2"/>
        <charset val="238"/>
      </rPr>
      <t>(8)</t>
    </r>
  </si>
  <si>
    <r>
      <t xml:space="preserve">použité </t>
    </r>
    <r>
      <rPr>
        <sz val="8"/>
        <color indexed="8"/>
        <rFont val="Calibri"/>
        <family val="2"/>
        <charset val="238"/>
      </rPr>
      <t>(3)</t>
    </r>
  </si>
  <si>
    <t xml:space="preserve">                     Mobilita výzkumných pracovníků  </t>
  </si>
  <si>
    <t xml:space="preserve">                     Visegradská skupina + Japonsko - rozvoj spolupráce</t>
  </si>
  <si>
    <t xml:space="preserve">                      Projekty mezinárodní spolupráce</t>
  </si>
  <si>
    <t xml:space="preserve">                      Specifický vysokoškolský výzkum</t>
  </si>
  <si>
    <t xml:space="preserve">                      Velké infrastruktury</t>
  </si>
  <si>
    <t>Prostředky ze zahraničí (získané přímo VVŠ)</t>
  </si>
  <si>
    <t>Evropská unie mimo evropské fondy</t>
  </si>
  <si>
    <r>
      <rPr>
        <sz val="8"/>
        <color indexed="8"/>
        <rFont val="Calibri"/>
        <family val="2"/>
        <charset val="238"/>
      </rPr>
      <t>(1)</t>
    </r>
    <r>
      <rPr>
        <sz val="10"/>
        <color indexed="8"/>
        <rFont val="Calibri"/>
        <family val="2"/>
        <charset val="238"/>
      </rPr>
      <t xml:space="preserve"> Součtové údaje ve sloupcích a-f se automaticky přenášejí do souhrnné tabulky č. 5. Součtový údaj za MŠMT = Tab. 5, ř.12; za dotace ostatních kapitol státního rozpočtu = Tab. 5, ř.19; za územní rozpočty = Tab. 5, ř.26; za prostředky ze zahraničí = Tab. 5, ř.29. Tabulka je tříděna podle poskytovatele, dále podle institucionální a účelové podpory a dále podle jednotlivých programů (nejpodrobnější údaj bude na úrovni programu, není třeba vyplňovat tabulku na úroveň projektů). VŠ uvede pouze ty programy, ve kterých získává finanční prostředky. Za každého poskytovatele VŠ vždy uvede součtový údaj. Pokud škola realizuje výzkumný projekt/program financovaný pouze z neveřejných zdrojů, realizuje aktivity v rámci doplňkové činnosti za úplatu, spoluřeší projekty, apod., do této tabulky je uvádět v řádcích nebude.</t>
    </r>
  </si>
  <si>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jako podpora VaV podle zákona 130/2002 Sb. Uvádí se ve shodě s objemem finančních prostředků uvedených v rozhodnutí (sl. a, c, e).</t>
    </r>
  </si>
  <si>
    <r>
      <rPr>
        <sz val="8"/>
        <color indexed="8"/>
        <rFont val="Calibri"/>
        <family val="2"/>
        <charset val="238"/>
      </rPr>
      <t>(4)</t>
    </r>
    <r>
      <rPr>
        <sz val="10"/>
        <color indexed="8"/>
        <rFont val="Calibri"/>
        <family val="2"/>
        <charset val="238"/>
      </rPr>
      <t xml:space="preserve"> Z celkových veřejných prostředků poskytnutých i použitých k financování projektů v dané kategorii se uvede procentuální podíl zdrojů pocházejících mimo veřejné rozpočty ČR - z veřejných rozpočtu EU nebo jiných zahraničních veřejných zdrojů.</t>
    </r>
  </si>
  <si>
    <r>
      <rPr>
        <sz val="8"/>
        <color indexed="8"/>
        <rFont val="Calibri"/>
        <family val="2"/>
        <charset val="238"/>
      </rPr>
      <t>(5)</t>
    </r>
    <r>
      <rPr>
        <sz val="10"/>
        <color indexed="8"/>
        <rFont val="Calibri"/>
        <family val="2"/>
        <charset val="238"/>
      </rPr>
      <t xml:space="preserve"> Uvedou se prostředky, které byly převedeny k řešení projektů/aktivit ostatním spoluřešitelům.</t>
    </r>
  </si>
  <si>
    <r>
      <rPr>
        <sz val="8"/>
        <color indexed="8"/>
        <rFont val="Calibri"/>
        <family val="2"/>
        <charset val="238"/>
      </rPr>
      <t>(9)</t>
    </r>
    <r>
      <rPr>
        <sz val="10"/>
        <color indexed="8"/>
        <rFont val="Calibri"/>
        <family val="2"/>
        <charset val="238"/>
      </rPr>
      <t xml:space="preserve"> Sloupec "i" uvádí "ostatní použité neveřejné zdroje celkem" a obsahuje prostředky na dofinancování programů/aktivit uvedených v jednotlivých řádcích (a to z neveřejných zdrojů). </t>
    </r>
  </si>
  <si>
    <r>
      <rPr>
        <sz val="8"/>
        <color indexed="8"/>
        <rFont val="Calibri"/>
        <family val="2"/>
        <charset val="238"/>
      </rPr>
      <t>(10)</t>
    </r>
    <r>
      <rPr>
        <sz val="10"/>
        <color indexed="8"/>
        <rFont val="Calibri"/>
        <family val="2"/>
        <charset val="238"/>
      </rPr>
      <t xml:space="preserve"> VVŠ uvede v členění dle povahy poskytovaných prostředků. Podle potřeby lze vložit další řádky</t>
    </r>
  </si>
  <si>
    <r>
      <rPr>
        <sz val="8"/>
        <rFont val="Calibri"/>
        <family val="2"/>
        <charset val="238"/>
      </rPr>
      <t>(1)</t>
    </r>
    <r>
      <rPr>
        <sz val="10"/>
        <rFont val="Calibri"/>
        <family val="2"/>
        <charset val="238"/>
      </rPr>
      <t xml:space="preserve"> Uvedou se prostředky, které VVŠ v roce přijala/použila v souladu s Rozhodnutím o poskytnutí dotace na přípravu a realizaci akcí programů reprodukce majetku. V případě, že uvedená hodnota zahrnuje i jiné veřejné prostředky než prostředky MŠMT, uvede se tato skutečnost spolu s výší této částky v připojeném komentáři.</t>
    </r>
  </si>
  <si>
    <r>
      <rPr>
        <sz val="8"/>
        <rFont val="Calibri"/>
        <family val="2"/>
        <charset val="238"/>
      </rPr>
      <t xml:space="preserve">(5)  </t>
    </r>
    <r>
      <rPr>
        <sz val="10"/>
        <rFont val="Calibri"/>
        <family val="2"/>
        <charset val="238"/>
      </rPr>
      <t>Součtová hodnota této tabulky se automaticky přenáší do souhrnné tabulky č. 5, ř.10.</t>
    </r>
  </si>
  <si>
    <t>Podle potřeby vložit další řádky.</t>
  </si>
  <si>
    <r>
      <rPr>
        <sz val="8"/>
        <color indexed="8"/>
        <rFont val="Calibri"/>
        <family val="2"/>
        <charset val="238"/>
      </rPr>
      <t xml:space="preserve">(2) </t>
    </r>
    <r>
      <rPr>
        <sz val="10"/>
        <color indexed="8"/>
        <rFont val="Calibri"/>
        <family val="2"/>
        <charset val="238"/>
      </rPr>
      <t xml:space="preserve">VVŠ uvede pro oblast podpory financovanou z prostředků VaV dle zákona č. 130/2002 Sb. o podpoře výzkumu a vývoje zkratku: VaV. </t>
    </r>
  </si>
  <si>
    <r>
      <rPr>
        <sz val="8"/>
        <color indexed="8"/>
        <rFont val="Calibri"/>
        <family val="2"/>
        <charset val="238"/>
      </rPr>
      <t>(4)</t>
    </r>
    <r>
      <rPr>
        <sz val="10"/>
        <color indexed="8"/>
        <rFont val="Calibri"/>
        <family val="2"/>
        <charset val="238"/>
      </rPr>
      <t xml:space="preserve"> Uvedou se prostředky použité daném roce na přípravu a realizaci projektů v souladu s Rozhodnutím.</t>
    </r>
  </si>
  <si>
    <r>
      <rPr>
        <sz val="8"/>
        <color indexed="8"/>
        <rFont val="Calibri"/>
        <family val="2"/>
        <charset val="238"/>
      </rPr>
      <t>(6)</t>
    </r>
    <r>
      <rPr>
        <sz val="10"/>
        <color indexed="8"/>
        <rFont val="Calibri"/>
        <family val="2"/>
        <charset val="238"/>
      </rPr>
      <t xml:space="preserve"> Uvedou se prostředky, které byly převedeny k řešení projektů/aktivit ostatním </t>
    </r>
    <r>
      <rPr>
        <b/>
        <sz val="10"/>
        <color indexed="8"/>
        <rFont val="Calibri"/>
        <family val="2"/>
        <charset val="238"/>
      </rPr>
      <t>externím</t>
    </r>
    <r>
      <rPr>
        <sz val="10"/>
        <color indexed="8"/>
        <rFont val="Calibri"/>
        <family val="2"/>
        <charset val="238"/>
      </rPr>
      <t xml:space="preserve"> spoluřešitelům.</t>
    </r>
  </si>
  <si>
    <r>
      <rPr>
        <sz val="8"/>
        <color indexed="8"/>
        <rFont val="Calibri"/>
        <family val="2"/>
        <charset val="238"/>
      </rPr>
      <t>(9)</t>
    </r>
    <r>
      <rPr>
        <sz val="10"/>
        <color indexed="8"/>
        <rFont val="Calibri"/>
        <family val="2"/>
        <charset val="238"/>
      </rPr>
      <t xml:space="preserve"> Uvedou se prostředky nezařazené  v předchozích sloupcích. Pokud jsou v uvedené hodnotě obsaženy i veřejné zdroje, poskytnuté škole ve sledovaném roce prostřednictvím jiného dotačního titulu,  je nutné tuto skutečnost specifikovat v komentáři (viz 9a).</t>
    </r>
  </si>
  <si>
    <t xml:space="preserve">             3.Přijaté příspěvky (dary)</t>
  </si>
  <si>
    <t>MMR-EFRR</t>
  </si>
  <si>
    <t>Kontrola na tab. 8.a</t>
  </si>
  <si>
    <t>ak. prac.</t>
  </si>
  <si>
    <t>věd. prac.</t>
  </si>
  <si>
    <t>2018-2017</t>
  </si>
  <si>
    <t>cena</t>
  </si>
  <si>
    <t>Pořizovací</t>
  </si>
  <si>
    <t>Oprávky</t>
  </si>
  <si>
    <t>(-)</t>
  </si>
  <si>
    <t>Zůstatková</t>
  </si>
  <si>
    <t>Celkem I. + II. v rozvaze UK (bez VP)</t>
  </si>
  <si>
    <t>check</t>
  </si>
  <si>
    <t>Druh majetku</t>
  </si>
  <si>
    <t xml:space="preserve">          1.Nehmotné výsledky výzkumu a vývoje</t>
  </si>
  <si>
    <t xml:space="preserve">          2.Software</t>
  </si>
  <si>
    <t xml:space="preserve">          3.Ocenitelná práva</t>
  </si>
  <si>
    <t xml:space="preserve">          4.Drobný dlouhodobý nehmotný majetek</t>
  </si>
  <si>
    <t xml:space="preserve">          5.Ostatní dlouhodobý nehmotný majetek</t>
  </si>
  <si>
    <t xml:space="preserve">          6.Nedokončený DNM</t>
  </si>
  <si>
    <t xml:space="preserve">          7.Poskytnuté zálohy na DNM</t>
  </si>
  <si>
    <t xml:space="preserve">          1.Pozemky</t>
  </si>
  <si>
    <t xml:space="preserve">          2.Umělecká díla, předměty a sbírky</t>
  </si>
  <si>
    <t xml:space="preserve">          3.Stavby</t>
  </si>
  <si>
    <t xml:space="preserve">          4.Hmotné movité věci a jejich soubory </t>
  </si>
  <si>
    <t xml:space="preserve">          5.Pěstitelské celky trvalých porostů</t>
  </si>
  <si>
    <t xml:space="preserve">          6.Dospělá zvířata a jejich skupiny</t>
  </si>
  <si>
    <t xml:space="preserve">          7.Drobný dlouhodobý hmotný majetek</t>
  </si>
  <si>
    <t xml:space="preserve">          8.Ostatní dlouhodobý hmotný majetek</t>
  </si>
  <si>
    <t xml:space="preserve">          9.Nedokončený DHM</t>
  </si>
  <si>
    <t xml:space="preserve">         10.Poskytnuté zálohy na DHM</t>
  </si>
  <si>
    <t>Přehled vybraného majetku univerzity a jeho vývoj</t>
  </si>
  <si>
    <r>
      <t xml:space="preserve">Tabulka 1   Rozvaha </t>
    </r>
    <r>
      <rPr>
        <sz val="14"/>
        <rFont val="Calibri"/>
        <family val="2"/>
        <charset val="238"/>
      </rPr>
      <t>(bilance)</t>
    </r>
  </si>
  <si>
    <r>
      <rPr>
        <b/>
        <sz val="20"/>
        <rFont val="Calibri"/>
        <family val="2"/>
        <charset val="238"/>
      </rPr>
      <t>Tabulka 2.a  Výkaz zisku a ztráty - vysoká škola</t>
    </r>
    <r>
      <rPr>
        <sz val="16"/>
        <rFont val="Calibri"/>
        <family val="2"/>
        <charset val="238"/>
      </rPr>
      <t xml:space="preserve"> </t>
    </r>
    <r>
      <rPr>
        <sz val="12"/>
        <rFont val="Calibri"/>
        <family val="2"/>
        <charset val="238"/>
      </rPr>
      <t>(bez stravovací a ubytovací činnosti)</t>
    </r>
  </si>
  <si>
    <r>
      <rPr>
        <b/>
        <sz val="16"/>
        <rFont val="Calibri"/>
        <family val="2"/>
        <charset val="238"/>
      </rPr>
      <t>Tabulka 3   Hospodářský výsledek</t>
    </r>
    <r>
      <rPr>
        <sz val="12"/>
        <rFont val="Calibri"/>
        <family val="2"/>
        <charset val="238"/>
      </rPr>
      <t xml:space="preserve">  (po zdanění a vč. vnitropodniku)</t>
    </r>
  </si>
  <si>
    <t>Výnosy
(1)</t>
  </si>
  <si>
    <r>
      <t xml:space="preserve">Průměrná částka na 1 studenta
</t>
    </r>
    <r>
      <rPr>
        <sz val="8"/>
        <rFont val="Calibri"/>
        <family val="2"/>
        <charset val="238"/>
      </rPr>
      <t>(3)</t>
    </r>
  </si>
  <si>
    <t>z toho: stipendijní fond - tvorba (1)</t>
  </si>
  <si>
    <t>Účelově určené dary § 18 odst. 9 a) zák. č. 111/1998 Sb.</t>
  </si>
  <si>
    <t>Účelově určené peněžní prostředky ze zahraničí § 18 odst. 9 b) zák. č. 111/1998 Sb.</t>
  </si>
  <si>
    <t>Účelově určené prostředky na VaV kapitoly 333-MŠMT, § 18 odst.9 c) zák. č. 111/1998 Sb.</t>
  </si>
  <si>
    <t>Účelově určené prostředky z jiné podpory z veř. prostředků, § 18 odst.9 c) zák. č. 111/1998 Sb.</t>
  </si>
  <si>
    <r>
      <rPr>
        <sz val="8"/>
        <color indexed="8"/>
        <rFont val="Calibri"/>
        <family val="2"/>
        <charset val="238"/>
      </rPr>
      <t>(2)</t>
    </r>
    <r>
      <rPr>
        <sz val="10"/>
        <color indexed="8"/>
        <rFont val="Calibri"/>
        <family val="2"/>
        <charset val="238"/>
      </rPr>
      <t xml:space="preserve"> </t>
    </r>
    <r>
      <rPr>
        <b/>
        <sz val="10"/>
        <color indexed="8"/>
        <rFont val="Calibri"/>
        <family val="2"/>
        <charset val="238"/>
      </rPr>
      <t>Licenční smlouva</t>
    </r>
    <r>
      <rPr>
        <sz val="10"/>
        <color indexed="8"/>
        <rFont val="Calibri"/>
        <family val="2"/>
        <charset val="238"/>
      </rPr>
      <t xml:space="preserve"> je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
</t>
    </r>
    <r>
      <rPr>
        <sz val="10"/>
        <color indexed="48"/>
        <rFont val="Calibri"/>
        <family val="2"/>
        <charset val="238"/>
      </rPr>
      <t xml:space="preserve"> [na UK AÚČ 602 1331 a 602 6331]</t>
    </r>
  </si>
  <si>
    <r>
      <rPr>
        <sz val="8"/>
        <color indexed="8"/>
        <rFont val="Calibri"/>
        <family val="2"/>
        <charset val="238"/>
      </rPr>
      <t>(3)</t>
    </r>
    <r>
      <rPr>
        <sz val="10"/>
        <color indexed="8"/>
        <rFont val="Calibri"/>
        <family val="2"/>
        <charset val="238"/>
      </rPr>
      <t xml:space="preserve"> </t>
    </r>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výzkum, na který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
</t>
    </r>
    <r>
      <rPr>
        <sz val="10"/>
        <color indexed="48"/>
        <rFont val="Calibri"/>
        <family val="2"/>
        <charset val="238"/>
      </rPr>
      <t>[na UK AÚČ 602 1332 a 602 6332]</t>
    </r>
  </si>
  <si>
    <r>
      <rPr>
        <sz val="8"/>
        <color indexed="8"/>
        <rFont val="Calibri"/>
        <family val="2"/>
        <charset val="238"/>
      </rPr>
      <t>(4)</t>
    </r>
    <r>
      <rPr>
        <sz val="10"/>
        <color indexed="8"/>
        <rFont val="Calibri"/>
        <family val="2"/>
        <charset val="238"/>
      </rPr>
      <t xml:space="preserve"> </t>
    </r>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organizace,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
</t>
    </r>
    <r>
      <rPr>
        <sz val="10"/>
        <color indexed="48"/>
        <rFont val="Calibri"/>
        <family val="2"/>
        <charset val="238"/>
      </rPr>
      <t>[na UK AÚČ 602 1333 a 602 6333]</t>
    </r>
  </si>
  <si>
    <r>
      <rPr>
        <sz val="8"/>
        <color indexed="8"/>
        <rFont val="Calibri"/>
        <family val="2"/>
        <charset val="238"/>
      </rPr>
      <t>(5)</t>
    </r>
    <r>
      <rPr>
        <b/>
        <sz val="10"/>
        <color indexed="8"/>
        <rFont val="Calibri"/>
        <family val="2"/>
        <charset val="238"/>
      </rPr>
      <t xml:space="preserve"> Konzultace a poradenství </t>
    </r>
    <r>
      <rPr>
        <sz val="10"/>
        <color indexed="8"/>
        <rFont val="Calibri"/>
        <family val="2"/>
        <charset val="238"/>
      </rPr>
      <t xml:space="preserve">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
</t>
    </r>
    <r>
      <rPr>
        <sz val="10"/>
        <color indexed="48"/>
        <rFont val="Calibri"/>
        <family val="2"/>
        <charset val="238"/>
      </rPr>
      <t>[na UK AÚČ 602 1334 a 602 6334]</t>
    </r>
  </si>
  <si>
    <r>
      <t>Tabulka 2.b   Výkaz zisku a ztráty - stravovací a ubytovací činnost -</t>
    </r>
    <r>
      <rPr>
        <b/>
        <sz val="18"/>
        <color indexed="10"/>
        <rFont val="Calibri"/>
        <family val="2"/>
        <charset val="238"/>
      </rPr>
      <t xml:space="preserve"> součást 43</t>
    </r>
  </si>
  <si>
    <r>
      <t>Tabulka 2.b   Výkaz zisku a ztráty - stravovací a ubytovací činnost -</t>
    </r>
    <r>
      <rPr>
        <b/>
        <sz val="18"/>
        <color indexed="10"/>
        <rFont val="Calibri"/>
        <family val="2"/>
        <charset val="238"/>
      </rPr>
      <t xml:space="preserve"> součást 16</t>
    </r>
  </si>
  <si>
    <r>
      <t>Tabulka 2.b   Výkaz zisku a ztráty - stravovací a ubytovací činnost -</t>
    </r>
    <r>
      <rPr>
        <b/>
        <sz val="18"/>
        <color indexed="10"/>
        <rFont val="Calibri"/>
        <family val="2"/>
        <charset val="238"/>
      </rPr>
      <t xml:space="preserve"> součást 31</t>
    </r>
  </si>
  <si>
    <r>
      <rPr>
        <sz val="8"/>
        <rFont val="Calibri"/>
        <family val="2"/>
        <charset val="238"/>
      </rPr>
      <t>(5)</t>
    </r>
    <r>
      <rPr>
        <sz val="10"/>
        <rFont val="Calibri"/>
        <family val="2"/>
        <charset val="238"/>
      </rPr>
      <t xml:space="preserve"> Požka pasiv "A.II.1. Účet výsledku hospodaření" se vykazuje pouze k poslednímu dni účetního období.</t>
    </r>
  </si>
  <si>
    <r>
      <rPr>
        <sz val="8"/>
        <rFont val="Calibri"/>
        <family val="2"/>
        <charset val="238"/>
      </rPr>
      <t>(6)</t>
    </r>
    <r>
      <rPr>
        <sz val="10"/>
        <rFont val="Calibri"/>
        <family val="2"/>
        <charset val="238"/>
      </rPr>
      <t xml:space="preserve"> Požka pasiv "A.II.2. Výsledek hospodaření ve schvalovacím řízení" se vykazuje pouze k prvnímu dni účetního období.</t>
    </r>
  </si>
  <si>
    <r>
      <t xml:space="preserve">Součást VVŠ </t>
    </r>
    <r>
      <rPr>
        <sz val="10"/>
        <rFont val="Calibri"/>
        <family val="2"/>
        <charset val="238"/>
      </rPr>
      <t>(1)</t>
    </r>
  </si>
  <si>
    <r>
      <t xml:space="preserve">Univerzita Karlova celkem </t>
    </r>
    <r>
      <rPr>
        <sz val="10"/>
        <rFont val="Calibri"/>
        <family val="2"/>
        <charset val="238"/>
      </rPr>
      <t>(3)</t>
    </r>
  </si>
  <si>
    <r>
      <t xml:space="preserve">HV celkem </t>
    </r>
    <r>
      <rPr>
        <sz val="10"/>
        <rFont val="Calibri"/>
        <family val="2"/>
        <charset val="238"/>
      </rPr>
      <t>(2)</t>
    </r>
  </si>
  <si>
    <t>P</t>
  </si>
  <si>
    <t xml:space="preserve">     Dům zahraniční spolupráce</t>
  </si>
  <si>
    <r>
      <rPr>
        <sz val="8"/>
        <color indexed="8"/>
        <rFont val="Calibri"/>
        <family val="2"/>
        <charset val="238"/>
      </rPr>
      <t>(7)</t>
    </r>
    <r>
      <rPr>
        <sz val="10"/>
        <color indexed="8"/>
        <rFont val="Calibri"/>
        <family val="2"/>
        <charset val="238"/>
      </rPr>
      <t xml:space="preserve"> VVŠ uvede </t>
    </r>
    <r>
      <rPr>
        <b/>
        <sz val="10"/>
        <color indexed="8"/>
        <rFont val="Calibri"/>
        <family val="2"/>
        <charset val="238"/>
      </rPr>
      <t>celkovou výši vratky nevyčerpaných prostředků odvedených na depozitní účet</t>
    </r>
  </si>
  <si>
    <r>
      <t xml:space="preserve">  C  e  l  k  e  m</t>
    </r>
    <r>
      <rPr>
        <sz val="11"/>
        <rFont val="Calibri"/>
        <family val="2"/>
        <charset val="238"/>
      </rPr>
      <t xml:space="preserve"> </t>
    </r>
    <r>
      <rPr>
        <sz val="8"/>
        <rFont val="Calibri"/>
        <family val="2"/>
        <charset val="238"/>
      </rPr>
      <t xml:space="preserve"> (5)</t>
    </r>
  </si>
  <si>
    <r>
      <t>z toho zajištěno spoluřešit.</t>
    </r>
    <r>
      <rPr>
        <sz val="8"/>
        <color indexed="8"/>
        <rFont val="Calibri"/>
        <family val="2"/>
        <charset val="238"/>
      </rPr>
      <t xml:space="preserve"> </t>
    </r>
    <r>
      <rPr>
        <sz val="10"/>
        <color indexed="8"/>
        <rFont val="Calibri"/>
        <family val="2"/>
        <charset val="238"/>
      </rPr>
      <t>(6)</t>
    </r>
  </si>
  <si>
    <t>MŠMT dle zákona č. 130/2002 Sb.</t>
  </si>
  <si>
    <t>MF-EHP</t>
  </si>
  <si>
    <t>Norské fondy</t>
  </si>
  <si>
    <t>Územní rozpočty dle zákona č. 130/2002 Sb.</t>
  </si>
  <si>
    <t>C  e  l  k  e  m   dle zákona č. 130/2002 Sb.</t>
  </si>
  <si>
    <t>Ostatní užítí:</t>
  </si>
  <si>
    <t xml:space="preserve">Ostatní příjmy: </t>
  </si>
  <si>
    <t>Územní rozpočty, dotace spojené se vzdělávací činností</t>
  </si>
  <si>
    <t>C  e  l  k  e  m   na vzdělávací činnost</t>
  </si>
  <si>
    <t>sloupec aktualizován</t>
  </si>
  <si>
    <t>sloupec ještě</t>
  </si>
  <si>
    <t>neaktualizován</t>
  </si>
  <si>
    <t>B.1</t>
  </si>
  <si>
    <t>Hlavní činnost</t>
  </si>
  <si>
    <t xml:space="preserve">     Úřad vlády ČR</t>
  </si>
  <si>
    <t xml:space="preserve">          Ministerstvo obrany</t>
  </si>
  <si>
    <r>
      <t xml:space="preserve">poskytnuté
</t>
    </r>
    <r>
      <rPr>
        <sz val="8"/>
        <color indexed="8"/>
        <rFont val="Calibri"/>
        <family val="2"/>
        <charset val="238"/>
      </rPr>
      <t>(3)</t>
    </r>
  </si>
  <si>
    <r>
      <t xml:space="preserve">použité
</t>
    </r>
    <r>
      <rPr>
        <sz val="8"/>
        <color indexed="8"/>
        <rFont val="Calibri"/>
        <family val="2"/>
        <charset val="238"/>
      </rPr>
      <t>(4)</t>
    </r>
  </si>
  <si>
    <t xml:space="preserve">            10.Mzdové náklady</t>
  </si>
  <si>
    <t xml:space="preserve">            7.Změna stavu zásob vlastní činnosti</t>
  </si>
  <si>
    <t xml:space="preserve">            8.Aktivace materiálu, zboží a vnitroorganizačních služeb</t>
  </si>
  <si>
    <t>sloupec</t>
  </si>
  <si>
    <t>aktualizován</t>
  </si>
  <si>
    <t>31 ÚJOP Praha (dříve jednotlivě: Vyšehrad, Hostivař a Krystal)</t>
  </si>
  <si>
    <t>43 KaM Arnošta z Pardubic</t>
  </si>
  <si>
    <t>43 KaM Kajetánka</t>
  </si>
  <si>
    <t>43 KaM k. Bolevecká-Plzeň</t>
  </si>
  <si>
    <t>43 KaM k. Heyrovského-Plzeň</t>
  </si>
  <si>
    <t>43 KaM k. Šafránkův Pavilon-Plzeň</t>
  </si>
  <si>
    <t>pro příští rok: popiska níže to copy</t>
  </si>
  <si>
    <t xml:space="preserve">     Ministerstvo práce a sociálních věcí + Úřad práce</t>
  </si>
  <si>
    <r>
      <t xml:space="preserve">  I. Dlouhodobý nehmotný majetek </t>
    </r>
    <r>
      <rPr>
        <sz val="12"/>
        <rFont val="Cambria"/>
        <family val="1"/>
        <charset val="238"/>
      </rPr>
      <t>(DNM)</t>
    </r>
    <r>
      <rPr>
        <b/>
        <sz val="12"/>
        <rFont val="Cambria"/>
        <family val="1"/>
        <charset val="238"/>
      </rPr>
      <t xml:space="preserve"> celkem             </t>
    </r>
  </si>
  <si>
    <r>
      <t xml:space="preserve">  II. Dlouhodobý hmotný majetek</t>
    </r>
    <r>
      <rPr>
        <sz val="12"/>
        <rFont val="Cambria"/>
        <family val="1"/>
        <charset val="238"/>
      </rPr>
      <t xml:space="preserve"> (DHM)</t>
    </r>
    <r>
      <rPr>
        <b/>
        <sz val="12"/>
        <rFont val="Cambria"/>
        <family val="1"/>
        <charset val="238"/>
      </rPr>
      <t xml:space="preserve"> celkem            </t>
    </r>
  </si>
  <si>
    <t>pro sl. B</t>
  </si>
  <si>
    <t>pro sl. C-E</t>
  </si>
  <si>
    <r>
      <rPr>
        <sz val="8"/>
        <rFont val="Calibri"/>
        <family val="2"/>
        <charset val="238"/>
      </rPr>
      <t>(1)</t>
    </r>
    <r>
      <rPr>
        <sz val="10"/>
        <rFont val="Calibri"/>
        <family val="2"/>
        <charset val="238"/>
      </rPr>
      <t xml:space="preserve"> Jedná se o poplatky definované v odst. 3 a 4 - § 58 zákona č. 111/1998 Sb.</t>
    </r>
  </si>
  <si>
    <t xml:space="preserve">Studijní programy a s nimi spojená tvůrčí činnost </t>
  </si>
  <si>
    <t>Společenské priority</t>
  </si>
  <si>
    <t>S1</t>
  </si>
  <si>
    <t>U1</t>
  </si>
  <si>
    <t>Mezinárodní spolupráce</t>
  </si>
  <si>
    <t>Fond vzdělávací politiky (mimo FUČ)</t>
  </si>
  <si>
    <t>FUČ</t>
  </si>
  <si>
    <t>Fond umělecké činnosti</t>
  </si>
  <si>
    <t xml:space="preserve">     Ministerstvo vnitra</t>
  </si>
  <si>
    <t xml:space="preserve">          Ministerstvo pro místní rozvoj</t>
  </si>
  <si>
    <r>
      <rPr>
        <sz val="8"/>
        <color indexed="8"/>
        <rFont val="Calibri"/>
        <family val="2"/>
        <charset val="238"/>
      </rPr>
      <t>(5)</t>
    </r>
    <r>
      <rPr>
        <sz val="10"/>
        <color indexed="8"/>
        <rFont val="Calibri"/>
        <family val="2"/>
        <charset val="238"/>
      </rPr>
      <t xml:space="preserve"> Z celkových prostředků poskytnutých i použitých k financování projektů v dané kategorii se uvede procentuální podíl zdrojů pocházejících mimo veřejné rozpočty ČR - z EU;</t>
    </r>
  </si>
  <si>
    <t>kap. 5, sloupec zcela</t>
  </si>
  <si>
    <t>vpravo (ZC)</t>
  </si>
  <si>
    <t>43 KaM k. Jižní město (Vltava a Otava)</t>
  </si>
  <si>
    <r>
      <rPr>
        <sz val="8"/>
        <rFont val="Calibri"/>
        <family val="2"/>
        <charset val="238"/>
      </rPr>
      <t>(1)</t>
    </r>
    <r>
      <rPr>
        <sz val="10"/>
        <rFont val="Calibri"/>
        <family val="2"/>
        <charset val="238"/>
      </rPr>
      <t xml:space="preserve"> V případě použití tohoto řádku, VŠ blíže specifikuje:</t>
    </r>
  </si>
  <si>
    <t>Stipendijní fond VŠ</t>
  </si>
  <si>
    <r>
      <t>Ostatní příjmy:</t>
    </r>
    <r>
      <rPr>
        <i/>
        <sz val="10"/>
        <color indexed="8"/>
        <rFont val="Calibri"/>
        <family val="2"/>
        <charset val="238"/>
      </rPr>
      <t xml:space="preserve"> </t>
    </r>
  </si>
  <si>
    <r>
      <rPr>
        <i/>
        <u/>
        <sz val="10"/>
        <color indexed="8"/>
        <rFont val="Calibri"/>
        <family val="2"/>
        <charset val="238"/>
      </rPr>
      <t>Ostatní investiční užití</t>
    </r>
    <r>
      <rPr>
        <i/>
        <sz val="10"/>
        <color indexed="8"/>
        <rFont val="Calibri"/>
        <family val="2"/>
        <charset val="238"/>
      </rPr>
      <t xml:space="preserve">: </t>
    </r>
  </si>
  <si>
    <r>
      <rPr>
        <i/>
        <u/>
        <sz val="10"/>
        <color indexed="8"/>
        <rFont val="Calibri"/>
        <family val="2"/>
        <charset val="238"/>
      </rPr>
      <t>Ostatní neinvestiční užití:</t>
    </r>
    <r>
      <rPr>
        <i/>
        <sz val="10"/>
        <color indexed="8"/>
        <rFont val="Calibri"/>
        <family val="2"/>
        <charset val="238"/>
      </rPr>
      <t xml:space="preserve">  </t>
    </r>
  </si>
  <si>
    <t>check HV po zdanění na VZZ bez VP</t>
  </si>
  <si>
    <t>check aktiv + pasiv</t>
  </si>
  <si>
    <t>VKLÁDEJ JEN Z PODEPSANÉ a ORAZÍTKOVANÉ (pdf) VZZ a ROZVAHY v CELÝCH tis. Kč !</t>
  </si>
  <si>
    <t>%</t>
  </si>
  <si>
    <t>HČ</t>
  </si>
  <si>
    <t>DČ</t>
  </si>
  <si>
    <t>Tržby</t>
  </si>
  <si>
    <t>Ost.výnosy</t>
  </si>
  <si>
    <t>Dary + tržby z prodeje majetku</t>
  </si>
  <si>
    <t>2022-2021</t>
  </si>
  <si>
    <t>check HV po zdanění na rozvahu</t>
  </si>
  <si>
    <t>DNM, ZC</t>
  </si>
  <si>
    <t>Podíl ZC SW</t>
  </si>
  <si>
    <t>SW</t>
  </si>
  <si>
    <t>čistá hodnota:</t>
  </si>
  <si>
    <t>DHM, ZC</t>
  </si>
  <si>
    <t>staveb:</t>
  </si>
  <si>
    <t xml:space="preserve"> + = vzrostla, tedy dokončila a zařadilo se jich více než v roce R-1; - = se snížila, tedy opravky byly rychlejší, než hodnota přírůstku zařazených (nových) staveb</t>
  </si>
  <si>
    <t>movitých věcí:</t>
  </si>
  <si>
    <t>se snížila</t>
  </si>
  <si>
    <t>Ukazatel:</t>
  </si>
  <si>
    <t>KFM/fondy</t>
  </si>
  <si>
    <t>HV celkem</t>
  </si>
  <si>
    <t>MUZO vs. fakulty</t>
  </si>
  <si>
    <t>rozdíl v tab. 3 oproti EIS sumář</t>
  </si>
  <si>
    <t>tj. v EIS sumář je více, než v tab. 3</t>
  </si>
  <si>
    <t>HV, vývoj:</t>
  </si>
  <si>
    <t>Fa:</t>
  </si>
  <si>
    <t>LF 1až3, PL, HK</t>
  </si>
  <si>
    <t>Lékařské:</t>
  </si>
  <si>
    <t>KTF, HTF, ETF</t>
  </si>
  <si>
    <t>Teologické:</t>
  </si>
  <si>
    <t>99+41</t>
  </si>
  <si>
    <t>FaF</t>
  </si>
  <si>
    <t>Farmaceutická:</t>
  </si>
  <si>
    <t>Příroda, MFF</t>
  </si>
  <si>
    <t>Přírodovědecké:</t>
  </si>
  <si>
    <t>vše níže (kromě 41+99) vyděl v MUZO tisícem !</t>
  </si>
  <si>
    <t>HV MUZO</t>
  </si>
  <si>
    <t>41 + 99</t>
  </si>
  <si>
    <t>41+99</t>
  </si>
  <si>
    <t>Univerzita Karlova celkem</t>
  </si>
  <si>
    <t>Rozdíl HV z fakult mínus MUZO</t>
  </si>
  <si>
    <t xml:space="preserve"> = ř.34=bez VP</t>
  </si>
  <si>
    <t>tis. Kč:</t>
  </si>
  <si>
    <r>
      <rPr>
        <sz val="8"/>
        <rFont val="Calibri"/>
        <family val="2"/>
        <charset val="238"/>
      </rPr>
      <t>(1)</t>
    </r>
    <r>
      <rPr>
        <sz val="10"/>
        <rFont val="Calibri"/>
        <family val="2"/>
        <charset val="238"/>
      </rPr>
      <t xml:space="preserve"> VŠ uvede celkovou částku v tis. Kč, kterou na daném typu poplatku / úhradou za další činnosti poskytované veřejnou vysokou školou přijala od studentů/dalších účastníků vzdělávání v daném kalendářním roce. </t>
    </r>
  </si>
  <si>
    <t>dle VZH UK R-1</t>
  </si>
  <si>
    <t>Rozvojové programy - centralizované rozvojové projekty (CRP)</t>
  </si>
  <si>
    <t xml:space="preserve">     Ministerstvo obrany</t>
  </si>
  <si>
    <t xml:space="preserve">                     Norské fondy (výzkumný program CZ09), EHP</t>
  </si>
  <si>
    <t xml:space="preserve">          Ministerstvo průmyslu a obchodu</t>
  </si>
  <si>
    <r>
      <rPr>
        <sz val="8"/>
        <rFont val="Calibri"/>
        <family val="2"/>
        <charset val="238"/>
      </rPr>
      <t>(2)</t>
    </r>
    <r>
      <rPr>
        <sz val="10"/>
        <rFont val="Calibri"/>
        <family val="2"/>
        <charset val="238"/>
      </rPr>
      <t xml:space="preserve"> Uvedou se finanční prostředky ve výši dle vystavených limitek k 31.12.</t>
    </r>
  </si>
  <si>
    <t xml:space="preserve">     OP VVV - Výzkum, vývoj a vzdělávání</t>
  </si>
  <si>
    <t>PO 3 - Rovný přístup ke kvalitnímu vzdělávání</t>
  </si>
  <si>
    <t>MPSV</t>
  </si>
  <si>
    <t>PO 3 - Města a inkluzivní strategie</t>
  </si>
  <si>
    <t>MF-Ostatní</t>
  </si>
  <si>
    <t>PO 3-Investice do dovednosti a vzdělávání</t>
  </si>
  <si>
    <t>MŽP-OPŽP</t>
  </si>
  <si>
    <t>PO 1-Zlepšování kvality vody a snižování rizika povodní</t>
  </si>
  <si>
    <t>Ostatní kapitoly státního rozpočtu dle zákona č. 130/2002 Sb.</t>
  </si>
  <si>
    <t>PO 5-Energetické úspory</t>
  </si>
  <si>
    <t>PO 1-Rozvoj výzkumu a vývoje pro inovace</t>
  </si>
  <si>
    <t>PO 1-Posílení výzkumu, technolog. rozvoje a inovací</t>
  </si>
  <si>
    <t>OP PRAHA - pól růstu ČR</t>
  </si>
  <si>
    <t>OP PRAHA</t>
  </si>
  <si>
    <t>PO 4-Vzdělávání a vzdělanost a podpora nezaměstnanosti</t>
  </si>
  <si>
    <t>C  e  l  k  e  m   na vzděl. činnost a dle zák. 130/2002 Sb.</t>
  </si>
  <si>
    <t xml:space="preserve">Zahraniční studenti a mezinárodní spolupráce </t>
  </si>
  <si>
    <t>(kromě zelených)</t>
  </si>
  <si>
    <r>
      <t>Tabulka 2.b   Výkaz zisku a ztráty - stravovací a ubytovací činnost -</t>
    </r>
    <r>
      <rPr>
        <b/>
        <sz val="18"/>
        <color indexed="10"/>
        <rFont val="Calibri"/>
        <family val="2"/>
        <charset val="238"/>
      </rPr>
      <t xml:space="preserve"> součást 08</t>
    </r>
  </si>
  <si>
    <t xml:space="preserve">08 LF Plzeň  </t>
  </si>
  <si>
    <t>43 KaM Jednota</t>
  </si>
  <si>
    <t>Kontrola na tab. 11c:</t>
  </si>
  <si>
    <t>CEEPUS</t>
  </si>
  <si>
    <t>Příspěvek / dotace MŠMT
(včetně GAUK, SVV, PRVOUK, UNCE)</t>
  </si>
  <si>
    <t>poř.cena+oprávky staveb:</t>
  </si>
  <si>
    <t>poř.cena+oprávky hm.věcí movitých:</t>
  </si>
  <si>
    <t>poř.cena+oprávky k nehm.majetku:</t>
  </si>
  <si>
    <t>nehm.majetek:</t>
  </si>
  <si>
    <t>Nehmotný maj.:</t>
  </si>
  <si>
    <t>Hmotný maj.:</t>
  </si>
  <si>
    <t>Vlastní výnosy (VV) celkem</t>
  </si>
  <si>
    <t>VV:</t>
  </si>
  <si>
    <t>rozdíl</t>
  </si>
  <si>
    <t>navýšení v %</t>
  </si>
  <si>
    <t>zůstatek</t>
  </si>
  <si>
    <t>MPO</t>
  </si>
  <si>
    <t>skryté řádky</t>
  </si>
  <si>
    <r>
      <rPr>
        <sz val="8"/>
        <color indexed="8"/>
        <rFont val="Calibri"/>
        <family val="2"/>
        <charset val="238"/>
      </rPr>
      <t>(8)</t>
    </r>
    <r>
      <rPr>
        <sz val="10"/>
        <color indexed="8"/>
        <rFont val="Calibri"/>
        <family val="2"/>
        <charset val="238"/>
      </rPr>
      <t xml:space="preserve"> Hodnota mezd CELKEM ve sl. 2, ř. 12 tabulky 8.b. se rovná součtu hodnot mezd CELKEM ve sloupcích 1 a 3  řádku 6 tabulky 8.a. Hodnota mezd CELKEM ve sl. 5, ř. 12 tabulky 8.b. se rovná součtu hodnot mezd CELKEM ve sloupcích 5, 7, 9, 11, 13, 15 a 17  řádku 6 tabulky 8.a</t>
    </r>
  </si>
  <si>
    <r>
      <rPr>
        <sz val="8"/>
        <color indexed="8"/>
        <rFont val="Calibri"/>
        <family val="2"/>
        <charset val="238"/>
      </rPr>
      <t>(7)</t>
    </r>
    <r>
      <rPr>
        <sz val="10"/>
        <color indexed="8"/>
        <rFont val="Calibri"/>
        <family val="2"/>
        <charset val="238"/>
      </rPr>
      <t xml:space="preserve"> Hodnota mezd CELKEM v řádku 6 (CELKEM), ve sl. 19, v tab. 8.a se rovná hodnotě mezd CELKEM ve sl. 8, ř. 12 tabulky 8.b</t>
    </r>
  </si>
  <si>
    <t>Papírové výnosy (649 1409)</t>
  </si>
  <si>
    <t>u60*, DČ</t>
  </si>
  <si>
    <t>Vložen HV z "fakultních" souborů (41 a 99) v tis. Kč (vč.des.míst):</t>
  </si>
  <si>
    <t xml:space="preserve"> = udělej najednou od ř. 48 (vlevo až) dolů, protože vkládáš v Kč</t>
  </si>
  <si>
    <t>Legenda:</t>
  </si>
  <si>
    <t>Varování gestorům pro práci s tímto souborem:</t>
  </si>
  <si>
    <r>
      <t xml:space="preserve">0) TENTO soubor (excel) i wordovský soubor, jež mají </t>
    </r>
    <r>
      <rPr>
        <b/>
        <sz val="11"/>
        <color indexed="10"/>
        <rFont val="Calibri"/>
        <family val="2"/>
        <charset val="238"/>
      </rPr>
      <t>na začátku svého názvu</t>
    </r>
    <r>
      <rPr>
        <sz val="11"/>
        <color indexed="10"/>
        <rFont val="Calibri"/>
        <family val="2"/>
        <charset val="238"/>
      </rPr>
      <t xml:space="preserve"> "UK-" smí být na linku/adresáři (viz bod. 4/ níže) pouze JEDENKRÁT (tj. 1x excel s "UK-" a 1x word s "UK-").</t>
    </r>
  </si>
  <si>
    <t>4) Má-li gestor tabulky/tabulek ve VZH za aktuální rok (tj. "R-1") povinnost na základě informace z MŠMT ve své tabuli provést změnu a není si jistý, že v excelovském souboru (jehož název začíná "UK-") zde:</t>
  </si>
  <si>
    <t>(Za případné nedostatky ve VZH nese odpovědnost gestor příslušné tabule/tabulek).</t>
  </si>
  <si>
    <t>tuto změnu zvládne provést samostatně a korektně, domluví si co nejdříve termín s Liborem a změnu provedou bez zbytečných odkladů společně.</t>
  </si>
  <si>
    <t>(který je nutné vrátit vždy zpět … pro další rok!), nebo u tab. 9 (kde bylo nutné oprávněný rozdíl u "naší kontroly" v E28 vysvětlit s *)/.</t>
  </si>
  <si>
    <t>Investice</t>
  </si>
  <si>
    <t>Stav k 31.12.2023</t>
  </si>
  <si>
    <t xml:space="preserve">                      Program JUNIOR STAR (GM)</t>
  </si>
  <si>
    <t xml:space="preserve">                      Program EXPRO (GX)</t>
  </si>
  <si>
    <t xml:space="preserve">                      Ostatní programy GAČR</t>
  </si>
  <si>
    <t xml:space="preserve">                           Národní programy udržitelnosti (NPU)</t>
  </si>
  <si>
    <t xml:space="preserve">                           Program ERC CZ (LL)</t>
  </si>
  <si>
    <t xml:space="preserve">          Horizont Evropa</t>
  </si>
  <si>
    <t>(Za neprovedenou, nebo chybně provedenou změnu ve VZH nese odpovědnost gestor příslušné tabule/tabulek).</t>
  </si>
  <si>
    <r>
      <t xml:space="preserve">6) </t>
    </r>
    <r>
      <rPr>
        <sz val="11"/>
        <color indexed="10"/>
        <rFont val="Calibri"/>
        <family val="2"/>
        <charset val="238"/>
      </rPr>
      <t>Každý gestor si ručí nejen za data a vzorce ve své tabuli/tabulích a je povinen si je před zahájením své práce zkontrolovat, ale i za popisky v záhlaví (sloupce)</t>
    </r>
    <r>
      <rPr>
        <sz val="11"/>
        <color theme="1"/>
        <rFont val="Calibri"/>
        <family val="2"/>
        <charset val="238"/>
        <scheme val="minor"/>
      </rPr>
      <t xml:space="preserve"> a v řádcích/sloupcích tabulky/tabulek, stejně </t>
    </r>
    <r>
      <rPr>
        <sz val="11"/>
        <color indexed="10"/>
        <rFont val="Calibri"/>
        <family val="2"/>
        <charset val="238"/>
      </rPr>
      <t>jako i za popisky pod tabulkami.</t>
    </r>
  </si>
  <si>
    <r>
      <rPr>
        <sz val="11"/>
        <color theme="1"/>
        <rFont val="Calibri"/>
        <family val="2"/>
        <charset val="238"/>
        <scheme val="minor"/>
      </rPr>
      <t xml:space="preserve">Požadavky vedení EPMO na NK při odeslání </t>
    </r>
    <r>
      <rPr>
        <b/>
        <sz val="11"/>
        <color theme="1"/>
        <rFont val="Calibri"/>
        <family val="2"/>
        <charset val="238"/>
        <scheme val="minor"/>
      </rPr>
      <t xml:space="preserve">k tisku </t>
    </r>
    <r>
      <rPr>
        <sz val="11"/>
        <color rgb="FFFF0000"/>
        <rFont val="Calibri"/>
        <family val="2"/>
        <charset val="238"/>
        <scheme val="minor"/>
      </rPr>
      <t>(nutno předat info do NK s velkým předstihem!)</t>
    </r>
    <r>
      <rPr>
        <sz val="11"/>
        <color theme="1"/>
        <rFont val="Calibri"/>
        <family val="2"/>
        <charset val="238"/>
        <scheme val="minor"/>
      </rPr>
      <t>, resp. pro tvorbu pdf:</t>
    </r>
  </si>
  <si>
    <r>
      <t xml:space="preserve">1) Jednotný font textu (word), záhlaví a zápatí (Lucie); Libor doporučuje nehýbat s fontem, velikostí písma a formátem </t>
    </r>
    <r>
      <rPr>
        <b/>
        <sz val="11"/>
        <color theme="1"/>
        <rFont val="Calibri"/>
        <family val="2"/>
        <charset val="238"/>
        <scheme val="minor"/>
      </rPr>
      <t xml:space="preserve">tabulek (excel) </t>
    </r>
    <r>
      <rPr>
        <sz val="11"/>
        <color theme="1"/>
        <rFont val="Calibri"/>
        <family val="2"/>
        <charset val="238"/>
        <scheme val="minor"/>
      </rPr>
      <t>VZH, protože každá tabule je jiná (velikost). Font, atd. u tabulí  ve</t>
    </r>
    <r>
      <rPr>
        <b/>
        <sz val="11"/>
        <color theme="1"/>
        <rFont val="Calibri"/>
        <family val="2"/>
        <charset val="238"/>
        <scheme val="minor"/>
      </rPr>
      <t xml:space="preserve"> wordu</t>
    </r>
    <r>
      <rPr>
        <sz val="11"/>
        <color theme="1"/>
        <rFont val="Calibri"/>
        <family val="2"/>
        <charset val="238"/>
        <scheme val="minor"/>
      </rPr>
      <t xml:space="preserve"> již byl (až na nutné výjimky) sjednocen.</t>
    </r>
  </si>
  <si>
    <t>poplatky za studium v cizím jazyce (§58 odst. 4)</t>
  </si>
  <si>
    <t>mzdové náklady</t>
  </si>
  <si>
    <r>
      <t xml:space="preserve">Návrh na příděl ze zisku do fondů v násled. roce </t>
    </r>
    <r>
      <rPr>
        <sz val="9"/>
        <rFont val="Calibri"/>
        <family val="2"/>
        <charset val="238"/>
      </rPr>
      <t>(1)</t>
    </r>
  </si>
  <si>
    <r>
      <rPr>
        <sz val="8"/>
        <rFont val="Calibri"/>
        <family val="2"/>
        <charset val="238"/>
      </rPr>
      <t>(1)</t>
    </r>
    <r>
      <rPr>
        <sz val="10"/>
        <rFont val="Calibri"/>
        <family val="2"/>
        <charset val="238"/>
      </rPr>
      <t xml:space="preserve"> Do projednání výroční zprávy o hospodaření s MŠMT se jedná o návrh.</t>
    </r>
  </si>
  <si>
    <r>
      <rPr>
        <sz val="8"/>
        <rFont val="Calibri"/>
        <family val="2"/>
        <charset val="238"/>
      </rPr>
      <t>(2)</t>
    </r>
    <r>
      <rPr>
        <sz val="10"/>
        <rFont val="Calibri"/>
        <family val="2"/>
        <charset val="238"/>
      </rPr>
      <t xml:space="preserve"> Údaje v podbarvených polích se načtou automaticky z vyplněných tabulek 11.a až 11.g</t>
    </r>
  </si>
  <si>
    <t>Tabulka 11   Fondy a návrh na příděly do fondů v následujícím roce</t>
  </si>
  <si>
    <t xml:space="preserve">     OP JAK - Jan Amos Komenský</t>
  </si>
  <si>
    <t xml:space="preserve">P1 - Výzkum a vývoj                                                   </t>
  </si>
  <si>
    <t xml:space="preserve">P2 - Vzdělávání                                                               </t>
  </si>
  <si>
    <t>Fond vzdělávací politiky</t>
  </si>
  <si>
    <t>Prováděcí program kultur., školské a věd.spolupr.mezi ČR+Egyptem (EAR)</t>
  </si>
  <si>
    <t>.</t>
  </si>
  <si>
    <t xml:space="preserve">P2 - Vzdělávání                                                   </t>
  </si>
  <si>
    <t>rezerva pro 2023, protože v 2022 nic (nutné na A4)</t>
  </si>
  <si>
    <r>
      <t xml:space="preserve">z "i" veřejné zdroje </t>
    </r>
    <r>
      <rPr>
        <b/>
        <sz val="10"/>
        <rFont val="Calibri"/>
        <family val="2"/>
        <charset val="238"/>
      </rPr>
      <t xml:space="preserve">poskyt.
ve sled. roce </t>
    </r>
    <r>
      <rPr>
        <sz val="10"/>
        <rFont val="Calibri"/>
        <family val="2"/>
        <charset val="238"/>
      </rPr>
      <t>(9a)</t>
    </r>
  </si>
  <si>
    <t xml:space="preserve">          v tom: Programové projekty národní (PPN)</t>
  </si>
  <si>
    <r>
      <rPr>
        <sz val="8"/>
        <color theme="0"/>
        <rFont val="Calibri"/>
        <family val="2"/>
        <charset val="238"/>
      </rPr>
      <t>(10)</t>
    </r>
    <r>
      <rPr>
        <sz val="10"/>
        <color theme="0"/>
        <rFont val="Calibri"/>
        <family val="2"/>
        <charset val="238"/>
      </rPr>
      <t xml:space="preserve"> Příspěvek poskytnutý na krytí DPH je vykázán v tab 5.a</t>
    </r>
  </si>
  <si>
    <t xml:space="preserve">          komp. 1.4 - Digitální ekonomika a společnost, inov.start-upy a nové technologie</t>
  </si>
  <si>
    <t xml:space="preserve">          komponenta 1.1 - Digitální služby občanům a firmám (pro koncové uživatele)</t>
  </si>
  <si>
    <t>pokud ZDE fakulty neuvedou nic (a budou na tom trvat), řádek ve VZH UK skryjeme a žluté řádky tabulky přečíslujeme (info JP 7.3.2024 s ukázkou v 421)</t>
  </si>
  <si>
    <r>
      <t xml:space="preserve">Příspěvek / dotace MŠMT
</t>
    </r>
    <r>
      <rPr>
        <sz val="8"/>
        <rFont val="Calibri"/>
        <family val="2"/>
        <charset val="238"/>
      </rPr>
      <t>(včetně GAUK, SVV, UNCE)</t>
    </r>
  </si>
  <si>
    <t>check HV 2a+2b před zdaněním na VZZ bez VP (2)</t>
  </si>
  <si>
    <t>check HV 2a+2b po zdanění na VZZ bez VP (2)</t>
  </si>
  <si>
    <t>dle VZH UK "R-1",</t>
  </si>
  <si>
    <t>součet "R-1" je vpravo:</t>
  </si>
  <si>
    <t>Kontrola * na rozvahu (tab. 1)</t>
  </si>
  <si>
    <t>43 KaM Na Kotli - Hradec Králové</t>
  </si>
  <si>
    <r>
      <t xml:space="preserve"> = vlož do </t>
    </r>
    <r>
      <rPr>
        <sz val="11"/>
        <color theme="0"/>
        <rFont val="Calibri"/>
        <family val="2"/>
        <charset val="238"/>
      </rPr>
      <t>kap. 5</t>
    </r>
    <r>
      <rPr>
        <sz val="11"/>
        <color theme="0"/>
        <rFont val="Calibri"/>
        <family val="2"/>
        <charset val="238"/>
        <scheme val="minor"/>
      </rPr>
      <t xml:space="preserve"> (VZH UK) </t>
    </r>
    <r>
      <rPr>
        <sz val="11"/>
        <color theme="0"/>
        <rFont val="Calibri"/>
        <family val="2"/>
        <charset val="238"/>
      </rPr>
      <t>"Stav a pohyb majetku a závazků"</t>
    </r>
    <r>
      <rPr>
        <sz val="11"/>
        <color theme="0"/>
        <rFont val="Calibri"/>
        <family val="2"/>
        <charset val="238"/>
        <scheme val="minor"/>
      </rPr>
      <t xml:space="preserve"> tuto tabuli </t>
    </r>
    <r>
      <rPr>
        <sz val="11"/>
        <color theme="0"/>
        <rFont val="Calibri"/>
        <family val="2"/>
        <charset val="238"/>
      </rPr>
      <t>jako HODNOTY</t>
    </r>
  </si>
  <si>
    <t xml:space="preserve"> = v tis. Kč !</t>
  </si>
  <si>
    <r>
      <t xml:space="preserve">HV po zdanění (VZZ </t>
    </r>
    <r>
      <rPr>
        <sz val="10"/>
        <color indexed="10"/>
        <rFont val="Calibri"/>
        <family val="2"/>
        <charset val="238"/>
      </rPr>
      <t>vč. VP</t>
    </r>
    <r>
      <rPr>
        <sz val="10"/>
        <rFont val="Calibri"/>
        <family val="2"/>
        <charset val="238"/>
      </rPr>
      <t>) z EIS sumář, na des.místa (!):</t>
    </r>
  </si>
  <si>
    <r>
      <rPr>
        <b/>
        <sz val="10"/>
        <color theme="0"/>
        <rFont val="Calibri"/>
        <family val="2"/>
        <charset val="238"/>
      </rPr>
      <t>Platí trvale:</t>
    </r>
    <r>
      <rPr>
        <sz val="10"/>
        <color theme="0"/>
        <rFont val="Calibri"/>
        <family val="2"/>
        <charset val="238"/>
      </rPr>
      <t xml:space="preserve"> do jednotlivých listů "b1 až vb4" vkládat </t>
    </r>
    <r>
      <rPr>
        <b/>
        <sz val="10"/>
        <color theme="0"/>
        <rFont val="Calibri"/>
        <family val="2"/>
        <charset val="238"/>
      </rPr>
      <t>vždy</t>
    </r>
    <r>
      <rPr>
        <sz val="10"/>
        <color theme="0"/>
        <rFont val="Calibri"/>
        <family val="2"/>
        <charset val="238"/>
      </rPr>
      <t xml:space="preserve"> jako celá čísla bez des.míst…</t>
    </r>
  </si>
  <si>
    <r>
      <t xml:space="preserve">z toho převody do FÚUP
</t>
    </r>
    <r>
      <rPr>
        <sz val="8"/>
        <color indexed="8"/>
        <rFont val="Calibri"/>
        <family val="2"/>
        <charset val="238"/>
      </rPr>
      <t>(6)</t>
    </r>
  </si>
  <si>
    <r>
      <t xml:space="preserve">z toho zdroje
zahr. v %
</t>
    </r>
    <r>
      <rPr>
        <sz val="8"/>
        <color indexed="8"/>
        <rFont val="Calibri"/>
        <family val="2"/>
        <charset val="238"/>
      </rPr>
      <t>(4)</t>
    </r>
  </si>
  <si>
    <r>
      <rPr>
        <sz val="8"/>
        <color indexed="8"/>
        <rFont val="Calibri"/>
        <family val="2"/>
        <charset val="238"/>
      </rPr>
      <t>(8)</t>
    </r>
    <r>
      <rPr>
        <sz val="10"/>
        <color indexed="8"/>
        <rFont val="Calibri"/>
        <family val="2"/>
        <charset val="238"/>
      </rPr>
      <t xml:space="preserve"> VVŠ uvede ty prostředky ze sloupce "h", které byly převedeny na depozitní účet při fin.vypořádání daného roku dle vyhlášky č. 367/2015 Sb., o zásadách a lhůtách fin.vypořádání vztahů se stát.rozpočtem, stát.fin.aktivy a Národním fondem (vyhláška o fin.vypořádání)</t>
    </r>
  </si>
  <si>
    <r>
      <rPr>
        <sz val="10"/>
        <color rgb="FF000000"/>
        <rFont val="Calibri"/>
        <family val="2"/>
        <charset val="238"/>
      </rPr>
      <t xml:space="preserve">Poznámky: </t>
    </r>
    <r>
      <rPr>
        <sz val="8"/>
        <color rgb="FF000000"/>
        <rFont val="Calibri"/>
        <family val="2"/>
        <charset val="238"/>
      </rPr>
      <t>(1)</t>
    </r>
    <r>
      <rPr>
        <sz val="10"/>
        <color indexed="8"/>
        <rFont val="Calibri"/>
        <family val="2"/>
        <charset val="238"/>
      </rPr>
      <t xml:space="preserve"> Součt.údaje ve sl. a-f se automaticky přenáší do tab.5. Součt.údaj za MŠMT bez VaV  do ř.5 a za MŠMT VaV do ř.6; za dotace ost.kapitol SR bez VaV do ř.15 a ost.kap.SR VaV do ř.16 ; za úz.rozpočty bez VaV do ř.22 a za úz.rozp.VaV do ř.23. Tab.je tříděna podle poskytovatele,podle oper.programu,prior.osy,oblasti podpory (nejpodrobnější údaj je v oblasti podpory,nevyplňujte tab.na úroveň projektů). VVŠ uvede programy,ve kterých získává fin.prostř.(tzn.vč.IPN). Za každého poskytovatele VŠ vždy uvede součtový údaj. </t>
    </r>
  </si>
  <si>
    <r>
      <t xml:space="preserve">Ost.použité neveřejné zdroje celkem
</t>
    </r>
    <r>
      <rPr>
        <sz val="8"/>
        <color rgb="FF000000"/>
        <rFont val="Calibri"/>
        <family val="2"/>
        <charset val="238"/>
      </rPr>
      <t>(9)</t>
    </r>
  </si>
  <si>
    <r>
      <rPr>
        <sz val="8"/>
        <color indexed="8"/>
        <rFont val="Calibri"/>
        <family val="2"/>
        <charset val="238"/>
      </rPr>
      <t>(9a)</t>
    </r>
    <r>
      <rPr>
        <sz val="10"/>
        <color indexed="8"/>
        <rFont val="Calibri"/>
        <family val="2"/>
        <charset val="238"/>
      </rPr>
      <t xml:space="preserve"> Komentář k poznámce </t>
    </r>
    <r>
      <rPr>
        <sz val="8"/>
        <color rgb="FF000000"/>
        <rFont val="Calibri"/>
        <family val="2"/>
        <charset val="238"/>
      </rPr>
      <t>(9)</t>
    </r>
    <r>
      <rPr>
        <sz val="10"/>
        <color indexed="8"/>
        <rFont val="Calibri"/>
        <family val="2"/>
        <charset val="238"/>
      </rPr>
      <t xml:space="preserve">. Ostatní veřejné zdroje financování použité ve sledovaném roce. </t>
    </r>
    <r>
      <rPr>
        <sz val="8"/>
        <color rgb="FF000000"/>
        <rFont val="Calibri"/>
        <family val="2"/>
        <charset val="238"/>
      </rPr>
      <t>(10)</t>
    </r>
    <r>
      <rPr>
        <sz val="10"/>
        <color indexed="8"/>
        <rFont val="Calibri"/>
        <family val="2"/>
        <charset val="238"/>
      </rPr>
      <t xml:space="preserve"> Příspěvek poskytnutý na krytí DPH je vykázán v tab 5.a</t>
    </r>
  </si>
  <si>
    <r>
      <t xml:space="preserve">Vratka nevyčerp. Prostředků
</t>
    </r>
    <r>
      <rPr>
        <sz val="8"/>
        <color indexed="8"/>
        <rFont val="Calibri"/>
        <family val="2"/>
        <charset val="238"/>
      </rPr>
      <t>(7)</t>
    </r>
  </si>
  <si>
    <r>
      <t xml:space="preserve">z toho zajištěno spoluřešit.
</t>
    </r>
    <r>
      <rPr>
        <sz val="8"/>
        <color indexed="8"/>
        <rFont val="Calibri"/>
        <family val="2"/>
        <charset val="238"/>
      </rPr>
      <t>(5)</t>
    </r>
  </si>
  <si>
    <t>počáteční stav</t>
  </si>
  <si>
    <r>
      <t xml:space="preserve">v tom: </t>
    </r>
    <r>
      <rPr>
        <b/>
        <sz val="10"/>
        <rFont val="Calibri"/>
        <family val="2"/>
        <charset val="238"/>
      </rPr>
      <t xml:space="preserve">1. prostředky plynoucí přes (z) veřejné rozpočty ČR   </t>
    </r>
    <r>
      <rPr>
        <b/>
        <sz val="8"/>
        <rFont val="Calibri"/>
        <family val="2"/>
        <charset val="238"/>
      </rPr>
      <t>(ř.3+ř.13+ř.20)</t>
    </r>
  </si>
  <si>
    <t>2023 = pro VZH 2024 již OK</t>
  </si>
  <si>
    <t>2024-2023</t>
  </si>
  <si>
    <t xml:space="preserve"> = nedotčené listy pro VZH 2024</t>
  </si>
  <si>
    <r>
      <t>mzdy</t>
    </r>
    <r>
      <rPr>
        <sz val="10"/>
        <rFont val="Calibri"/>
        <family val="2"/>
        <charset val="238"/>
      </rPr>
      <t xml:space="preserve"> (7)</t>
    </r>
  </si>
  <si>
    <t>UK 2023</t>
  </si>
  <si>
    <t>Podíl darů + tržeb z prodeje majetku na VV</t>
  </si>
  <si>
    <t>k 1.1.</t>
  </si>
  <si>
    <t>celkem (+)</t>
  </si>
  <si>
    <r>
      <t>1) Vkládejte do tabulí zásadně data jen "</t>
    </r>
    <r>
      <rPr>
        <b/>
        <sz val="11"/>
        <color indexed="8"/>
        <rFont val="Calibri"/>
        <family val="2"/>
        <charset val="238"/>
      </rPr>
      <t>jako hodnoty</t>
    </r>
    <r>
      <rPr>
        <sz val="11"/>
        <color theme="1"/>
        <rFont val="Calibri"/>
        <family val="2"/>
        <charset val="238"/>
        <scheme val="minor"/>
      </rPr>
      <t xml:space="preserve">". </t>
    </r>
    <r>
      <rPr>
        <b/>
        <sz val="11"/>
        <color indexed="10"/>
        <rFont val="Calibri"/>
        <family val="2"/>
        <charset val="238"/>
      </rPr>
      <t>Vyvarujte se</t>
    </r>
    <r>
      <rPr>
        <sz val="11"/>
        <color indexed="10"/>
        <rFont val="Calibri"/>
        <family val="2"/>
        <charset val="238"/>
      </rPr>
      <t xml:space="preserve"> použití "CTRL+V", </t>
    </r>
    <r>
      <rPr>
        <b/>
        <sz val="11"/>
        <color indexed="10"/>
        <rFont val="Calibri"/>
        <family val="2"/>
        <charset val="238"/>
      </rPr>
      <t>nebo</t>
    </r>
    <r>
      <rPr>
        <sz val="11"/>
        <color indexed="10"/>
        <rFont val="Calibri"/>
        <family val="2"/>
        <charset val="238"/>
      </rPr>
      <t xml:space="preserve"> "přetahování" hodnot pomocí znaku "rovná se" (z jiného Vašeho souboru, např. na Vašem disku) vkládáte-li data do jednotlivých listů tohoto souboru.</t>
    </r>
  </si>
  <si>
    <r>
      <t xml:space="preserve">2) Nové řádky/sloupce, jejich popisek a vzorce vkládejte\odstraňujte do\z tabulí zásadně </t>
    </r>
    <r>
      <rPr>
        <b/>
        <sz val="11"/>
        <color theme="1"/>
        <rFont val="Calibri"/>
        <family val="2"/>
        <charset val="238"/>
        <scheme val="minor"/>
      </rPr>
      <t>jen</t>
    </r>
    <r>
      <rPr>
        <sz val="11"/>
        <color theme="1"/>
        <rFont val="Calibri"/>
        <family val="2"/>
        <charset val="238"/>
        <scheme val="minor"/>
      </rPr>
      <t xml:space="preserve"> po dohodě s Liborem.</t>
    </r>
  </si>
  <si>
    <r>
      <t xml:space="preserve">5) </t>
    </r>
    <r>
      <rPr>
        <sz val="11"/>
        <color indexed="10"/>
        <rFont val="Calibri"/>
        <family val="2"/>
        <charset val="238"/>
      </rPr>
      <t>Nepřepisujte již vložené vzorce!!!</t>
    </r>
    <r>
      <rPr>
        <sz val="11"/>
        <color theme="1"/>
        <rFont val="Calibri"/>
        <family val="2"/>
        <charset val="238"/>
        <scheme val="minor"/>
      </rPr>
      <t xml:space="preserve"> Pokud jste tak nuceni učinit (tj. "něco Vám nevychází, ale stojíte si vůči ČSÚ, MŠMT, atd. za svým")</t>
    </r>
    <r>
      <rPr>
        <sz val="11"/>
        <color indexed="10"/>
        <rFont val="Calibri"/>
        <family val="2"/>
        <charset val="238"/>
      </rPr>
      <t>, vždy to dejte vědět Liborovi.</t>
    </r>
    <r>
      <rPr>
        <sz val="11"/>
        <color theme="1"/>
        <rFont val="Calibri"/>
        <family val="2"/>
        <charset val="238"/>
        <scheme val="minor"/>
      </rPr>
      <t xml:space="preserve"> Ve VZH UK 2020 se uvedené týká se např. tab. 8, kde byl přepsán vzorec v buňce K31.</t>
    </r>
  </si>
  <si>
    <r>
      <t xml:space="preserve">2) Tabulky vlastních výnosů (HČ/DČ) v kap. 3.1.2, pohledávek/závazků (kap. 5) a energií (kap. 3.1.3) orámovat jako v </t>
    </r>
    <r>
      <rPr>
        <b/>
        <sz val="11"/>
        <color indexed="8"/>
        <rFont val="Calibri"/>
        <family val="2"/>
        <charset val="238"/>
      </rPr>
      <t>tištěné</t>
    </r>
    <r>
      <rPr>
        <sz val="11"/>
        <color theme="1"/>
        <rFont val="Calibri"/>
        <family val="2"/>
        <charset val="238"/>
        <scheme val="minor"/>
      </rPr>
      <t xml:space="preserve"> VZH UK 2022 (Libor),</t>
    </r>
  </si>
  <si>
    <r>
      <t xml:space="preserve">3) Sjednotit formát číslování podkapitol v kap.5 dle subkap. 3.1 (bílý pruh u </t>
    </r>
    <r>
      <rPr>
        <b/>
        <sz val="11"/>
        <color indexed="8"/>
        <rFont val="Calibri"/>
        <family val="2"/>
        <charset val="238"/>
      </rPr>
      <t>tištěné</t>
    </r>
    <r>
      <rPr>
        <sz val="11"/>
        <color theme="1"/>
        <rFont val="Calibri"/>
        <family val="2"/>
        <charset val="238"/>
        <scheme val="minor"/>
      </rPr>
      <t xml:space="preserve"> verze) a uvést veškeré dílčí subkapitoly v kap. 5 (tj. 5.1 až 5.8) i do obsahu VZH.</t>
    </r>
  </si>
  <si>
    <t>Stav k 31.12.2024</t>
  </si>
  <si>
    <t xml:space="preserve"> = listy, kde jsou layout i definitivní data VZH UK korektní, tj. bez chyb (tj. odkontrolováno gestorem, který si svůj list / své listy po dokončení zabarví sám zeleně, aby informaci viděli vedoucí EPMO i ORPH). Stejným způsobem (zelené zabarvení) gestor označí ukončení své práce na tabuli/tabulkách VZH UK v tomto souboru a stejný záznam provede i do "Harmonogramu VZH UK" na S: (na příslušném listě), kde je uložena VZH UK.</t>
  </si>
  <si>
    <t>S:\Ekon\0. Vyrocni_zpravy\2024\VZH\do 12 mesicu\2. FINAL od součástí + UK_bez vnitro</t>
  </si>
  <si>
    <t>Pokud soubor, který má ve svém názvu na začátku "UK-", vložíte na červeně uvedený link v ad 4/ níže, např. omylem, tj. podruhé, smažte Vámi NOVĚ uložený soubor (tj. PONECHTE zde JEN soubor původní) a své opravy proveďte do původního souboru ZNOVU.</t>
  </si>
  <si>
    <r>
      <t xml:space="preserve">3) </t>
    </r>
    <r>
      <rPr>
        <b/>
        <sz val="11"/>
        <color theme="1"/>
        <rFont val="Calibri"/>
        <family val="2"/>
        <charset val="238"/>
        <scheme val="minor"/>
      </rPr>
      <t>Neměňte formáty tabulek (např. kopírováním)</t>
    </r>
    <r>
      <rPr>
        <sz val="11"/>
        <color theme="1"/>
        <rFont val="Calibri"/>
        <family val="2"/>
        <charset val="238"/>
        <scheme val="minor"/>
      </rPr>
      <t>, tj. šířku řádků a sloupců, názvy tabulek ani typ, velikost a barvu písma (tj. textu a čísel) v jednotlivých tabulkách, neboť tím byste např. zrušili u tabulek přednastavenou tiskovou oblast.</t>
    </r>
  </si>
  <si>
    <r>
      <t xml:space="preserve">Ostatní </t>
    </r>
    <r>
      <rPr>
        <sz val="8"/>
        <rFont val="Calibri"/>
        <family val="2"/>
        <charset val="238"/>
      </rPr>
      <t>(6)</t>
    </r>
  </si>
  <si>
    <t>A.5</t>
  </si>
  <si>
    <r>
      <t xml:space="preserve">Tržby za vlastní služby </t>
    </r>
    <r>
      <rPr>
        <sz val="8"/>
        <rFont val="Calibri"/>
        <family val="2"/>
        <charset val="238"/>
      </rPr>
      <t>(7)</t>
    </r>
  </si>
  <si>
    <r>
      <t xml:space="preserve">Znalečné </t>
    </r>
    <r>
      <rPr>
        <i/>
        <sz val="10"/>
        <rFont val="Calibri"/>
        <family val="2"/>
        <charset val="238"/>
      </rPr>
      <t>(počet poskytnutých znaleckých posudků, kurzivou)</t>
    </r>
    <r>
      <rPr>
        <sz val="8"/>
        <rFont val="Calibri"/>
        <family val="2"/>
        <charset val="238"/>
      </rPr>
      <t>(8)</t>
    </r>
  </si>
  <si>
    <r>
      <t xml:space="preserve">prostory </t>
    </r>
    <r>
      <rPr>
        <sz val="8"/>
        <rFont val="Calibri"/>
        <family val="2"/>
        <charset val="238"/>
      </rPr>
      <t>(9)</t>
    </r>
  </si>
  <si>
    <r>
      <rPr>
        <sz val="8"/>
        <color indexed="8"/>
        <rFont val="Calibri"/>
        <family val="2"/>
        <charset val="238"/>
      </rPr>
      <t>(8)</t>
    </r>
    <r>
      <rPr>
        <sz val="10"/>
        <color indexed="8"/>
        <rFont val="Calibri"/>
        <family val="2"/>
        <charset val="238"/>
      </rPr>
      <t xml:space="preserve"> Do řádku</t>
    </r>
    <r>
      <rPr>
        <b/>
        <sz val="10"/>
        <color indexed="8"/>
        <rFont val="Calibri"/>
        <family val="2"/>
        <charset val="238"/>
      </rPr>
      <t xml:space="preserve"> "Znalečné" </t>
    </r>
    <r>
      <rPr>
        <sz val="10"/>
        <color indexed="8"/>
        <rFont val="Calibri"/>
        <family val="2"/>
        <charset val="238"/>
      </rPr>
      <t>se ve sloupcích "E" a "G" doplní znalečné dle § 30 zákona č. 254/2019 Sb., zákon o znalcích, znaleckých kancelářích a znaleckých ústavech. Do sloupců "D" a "F"  tohoto řádku VŠ doplní počty poskytnutých znaleckých posudků.</t>
    </r>
  </si>
  <si>
    <r>
      <rPr>
        <sz val="8"/>
        <color indexed="8"/>
        <rFont val="Calibri"/>
        <family val="2"/>
        <charset val="238"/>
      </rPr>
      <t>(9)</t>
    </r>
    <r>
      <rPr>
        <sz val="10"/>
        <color indexed="8"/>
        <rFont val="Calibri"/>
        <family val="2"/>
        <charset val="238"/>
      </rPr>
      <t xml:space="preserve"> Do řádku</t>
    </r>
    <r>
      <rPr>
        <b/>
        <sz val="10"/>
        <color indexed="8"/>
        <rFont val="Calibri"/>
        <family val="2"/>
        <charset val="238"/>
      </rPr>
      <t xml:space="preserve"> "Prostory" </t>
    </r>
    <r>
      <rPr>
        <sz val="10"/>
        <color indexed="8"/>
        <rFont val="Calibri"/>
        <family val="2"/>
        <charset val="238"/>
      </rPr>
      <t>se doplní výnosy z nájmů, pokud se nejedná o celé budovy, stavby nebo haly.</t>
    </r>
  </si>
  <si>
    <r>
      <rPr>
        <sz val="8"/>
        <color indexed="8"/>
        <rFont val="Calibri"/>
        <family val="2"/>
        <charset val="238"/>
      </rPr>
      <t>(7)</t>
    </r>
    <r>
      <rPr>
        <sz val="10"/>
        <color indexed="8"/>
        <rFont val="Calibri"/>
        <family val="2"/>
        <charset val="238"/>
      </rPr>
      <t xml:space="preserve"> Do řádku "</t>
    </r>
    <r>
      <rPr>
        <b/>
        <sz val="10"/>
        <color indexed="8"/>
        <rFont val="Calibri"/>
        <family val="2"/>
        <charset val="238"/>
      </rPr>
      <t>Tržby za vlastní služby</t>
    </r>
    <r>
      <rPr>
        <sz val="10"/>
        <color indexed="8"/>
        <rFont val="Calibri"/>
        <family val="2"/>
        <charset val="238"/>
      </rPr>
      <t>" se doplní výnosy z hlavní a doplňkové činnosti uvedené ve výkazu zisku a ztráty na syntetickém účtu 602 "Tržby z prodeje služeb" bez zahrnutí výnosů z pronájmu. Současně v případě, že vysoká škola účtuje výnosy z pronájmu i na jiných syntetických účtech než na účtu 602 Tržby z prodeje služeb uvede tuto informaci do komentáře v textu výroční zprávy VŠ k tabulce č. 6.</t>
    </r>
  </si>
  <si>
    <r>
      <rPr>
        <sz val="8"/>
        <color indexed="8"/>
        <rFont val="Calibri"/>
        <family val="2"/>
        <charset val="238"/>
      </rPr>
      <t>(6)</t>
    </r>
    <r>
      <rPr>
        <sz val="10"/>
        <color indexed="8"/>
        <rFont val="Calibri"/>
        <family val="2"/>
        <charset val="238"/>
      </rPr>
      <t xml:space="preserve"> Do řádku</t>
    </r>
    <r>
      <rPr>
        <b/>
        <sz val="10"/>
        <color indexed="8"/>
        <rFont val="Calibri"/>
        <family val="2"/>
        <charset val="238"/>
      </rPr>
      <t xml:space="preserve"> "Ostatní"</t>
    </r>
    <r>
      <rPr>
        <sz val="10"/>
        <color rgb="FF000000"/>
        <rFont val="Calibri"/>
        <family val="2"/>
        <charset val="238"/>
      </rPr>
      <t xml:space="preserve"> </t>
    </r>
    <r>
      <rPr>
        <sz val="10"/>
        <color indexed="8"/>
        <rFont val="Calibri"/>
        <family val="2"/>
        <charset val="238"/>
      </rPr>
      <t xml:space="preserve">se doplní výnosy z transferu znalostí neuvedené v předchozích řádcích. V komentáři k tabulce VŠ uvede stručnou informace, o co se jedná. 
</t>
    </r>
    <r>
      <rPr>
        <sz val="10"/>
        <color rgb="FF3366FF"/>
        <rFont val="Calibri"/>
        <family val="2"/>
        <charset val="238"/>
      </rPr>
      <t>[na UK AÚČ 602 133x a 602 633x; "x" je uvedeno proto, že takový účet není zatím na UK znám ani používán]</t>
    </r>
  </si>
  <si>
    <r>
      <t xml:space="preserve">PO 3 - Podpora sociálního začleňování a boj proti chudobě; </t>
    </r>
    <r>
      <rPr>
        <sz val="10"/>
        <color rgb="FFFF0000"/>
        <rFont val="Calibri"/>
        <family val="2"/>
        <charset val="238"/>
      </rPr>
      <t>(bylo ve VZH UK 2023, ale pro VZH UK 2024 skryto, protože se nevejde na A4 s uvedením komponenty 7.4 výše u Národního plánu obnovy)</t>
    </r>
  </si>
  <si>
    <r>
      <t xml:space="preserve">PO 2 - Udržitelná mobilita a energetické úspory; </t>
    </r>
    <r>
      <rPr>
        <sz val="10"/>
        <color rgb="FFFF0000"/>
        <rFont val="Calibri"/>
        <family val="2"/>
        <charset val="238"/>
      </rPr>
      <t>(bylo ve VZH UK 2023, ale pro VZH UK 2024 skryto, protože se nevejde na A4 s uvedením komponenty 7.4 výše u Národního plánu obnovy)</t>
    </r>
  </si>
  <si>
    <t xml:space="preserve"> (bylo ve VZH UK 2023, ale pro VZH UK 2024 skryto, protože se nevejde na A4 s uvedením komponenty 7.4 výše u Národního plánu obnovy)</t>
  </si>
  <si>
    <t>SOCRATES</t>
  </si>
  <si>
    <t>AKTION</t>
  </si>
  <si>
    <t>Rozvojové programy ministerstva</t>
  </si>
  <si>
    <t>Identifikační číslo EDS (ISPROFIN)</t>
  </si>
  <si>
    <r>
      <rPr>
        <sz val="8"/>
        <rFont val="Calibri"/>
        <family val="2"/>
        <charset val="238"/>
      </rPr>
      <t>(6)</t>
    </r>
    <r>
      <rPr>
        <sz val="10"/>
        <rFont val="Calibri"/>
        <family val="2"/>
        <charset val="238"/>
      </rPr>
      <t xml:space="preserve"> Vrácení části dotace za nedodržení Podmínek a pokynů pro poskytnutí dotace</t>
    </r>
  </si>
  <si>
    <t>Tabulka 5.d   Financování programů fondů EU</t>
  </si>
  <si>
    <t>Spravedlivé transformace</t>
  </si>
  <si>
    <t>Technologie a aplikace pro konkurenceschopnost</t>
  </si>
  <si>
    <t>Technická pomoc</t>
  </si>
  <si>
    <t xml:space="preserve">          komponenta 6.1. - Zvýšení odolnosti systému zdravotní péče</t>
  </si>
  <si>
    <t xml:space="preserve">          Ministerstvo zdravotnictví</t>
  </si>
  <si>
    <t>MV - NPO</t>
  </si>
  <si>
    <t>MPO - NPO</t>
  </si>
  <si>
    <t>MZ - NPO</t>
  </si>
  <si>
    <t>MŽP-SFŽP-NPO-NP ŽP</t>
  </si>
  <si>
    <t xml:space="preserve">          komponenta 2.5 - Renovace budov a ochrana ovzduší</t>
  </si>
  <si>
    <t>MMR</t>
  </si>
  <si>
    <t>EFRR</t>
  </si>
  <si>
    <t>OP TP</t>
  </si>
  <si>
    <t>OP PIK</t>
  </si>
  <si>
    <t>OP TAK</t>
  </si>
  <si>
    <t>OP ST</t>
  </si>
  <si>
    <t>MŽP</t>
  </si>
  <si>
    <t>SFŽP</t>
  </si>
  <si>
    <t>Ost. kapitoly státního rozpočtu na vzděl.činnost</t>
  </si>
  <si>
    <t>Operační program/prioritní osa/oblast podpory/komponenta
 (1)</t>
  </si>
  <si>
    <t xml:space="preserve">     Národní plán obnovy (NPO)</t>
  </si>
  <si>
    <r>
      <t xml:space="preserve">        komponenta 3.1 </t>
    </r>
    <r>
      <rPr>
        <vertAlign val="superscript"/>
        <sz val="10"/>
        <color theme="1"/>
        <rFont val="Calibri"/>
        <family val="2"/>
        <charset val="238"/>
      </rPr>
      <t>(10)</t>
    </r>
    <r>
      <rPr>
        <sz val="10"/>
        <color theme="1"/>
        <rFont val="Calibri"/>
        <family val="2"/>
        <charset val="238"/>
      </rPr>
      <t xml:space="preserve"> - Inovace ve vzdělávání v kontextu digitalizace</t>
    </r>
  </si>
  <si>
    <r>
      <t xml:space="preserve">        komponenta 3.2 </t>
    </r>
    <r>
      <rPr>
        <vertAlign val="superscript"/>
        <sz val="10"/>
        <color theme="1"/>
        <rFont val="Calibri"/>
        <family val="2"/>
        <charset val="238"/>
      </rPr>
      <t>(10)</t>
    </r>
    <r>
      <rPr>
        <sz val="10"/>
        <color theme="1"/>
        <rFont val="Calibri"/>
        <family val="2"/>
        <charset val="238"/>
      </rPr>
      <t xml:space="preserve"> - Adaptace školních programů</t>
    </r>
  </si>
  <si>
    <r>
      <t xml:space="preserve">        komponenta 7.4 </t>
    </r>
    <r>
      <rPr>
        <vertAlign val="superscript"/>
        <sz val="10"/>
        <color theme="1"/>
        <rFont val="Calibri"/>
        <family val="2"/>
        <charset val="238"/>
      </rPr>
      <t>(10)</t>
    </r>
    <r>
      <rPr>
        <sz val="10"/>
        <color theme="1"/>
        <rFont val="Calibri"/>
        <family val="2"/>
        <charset val="238"/>
      </rPr>
      <t xml:space="preserve"> - Přizpůsobení škol,podp.zelených dovedn.a udržitelnosti</t>
    </r>
  </si>
  <si>
    <r>
      <rPr>
        <sz val="10"/>
        <color theme="1"/>
        <rFont val="Calibri"/>
        <family val="2"/>
        <charset val="238"/>
      </rPr>
      <t xml:space="preserve">        komponenta 5.1 - Excelentní výzkum a vývoj ve zdravotnictví</t>
    </r>
    <r>
      <rPr>
        <sz val="10"/>
        <color theme="1"/>
        <rFont val="Calibri"/>
        <family val="2"/>
        <charset val="238"/>
        <scheme val="minor"/>
      </rPr>
      <t xml:space="preserve">                                              </t>
    </r>
  </si>
  <si>
    <r>
      <rPr>
        <sz val="10"/>
        <color theme="1"/>
        <rFont val="Calibri"/>
        <family val="2"/>
        <charset val="238"/>
      </rPr>
      <t xml:space="preserve">        další specifikace VŠ</t>
    </r>
    <r>
      <rPr>
        <sz val="10"/>
        <color theme="1"/>
        <rFont val="Calibri"/>
        <family val="2"/>
        <charset val="238"/>
        <scheme val="minor"/>
      </rPr>
      <t xml:space="preserve">                                 </t>
    </r>
  </si>
  <si>
    <r>
      <t>Podepsaný VZZ s razítkem (</t>
    </r>
    <r>
      <rPr>
        <sz val="10"/>
        <color indexed="12"/>
        <rFont val="Calibri"/>
        <family val="2"/>
        <charset val="238"/>
      </rPr>
      <t>od hl.účetní</t>
    </r>
    <r>
      <rPr>
        <sz val="10"/>
        <rFont val="Calibri"/>
        <family val="2"/>
        <charset val="238"/>
      </rPr>
      <t xml:space="preserve">) pro audit, </t>
    </r>
    <r>
      <rPr>
        <sz val="10"/>
        <color indexed="12"/>
        <rFont val="Calibri"/>
        <family val="2"/>
        <charset val="238"/>
      </rPr>
      <t>bez VP</t>
    </r>
    <r>
      <rPr>
        <sz val="10"/>
        <rFont val="Calibri"/>
        <family val="2"/>
        <charset val="238"/>
      </rPr>
      <t>:</t>
    </r>
  </si>
  <si>
    <t xml:space="preserve"> = listy VZH připravené ke kontrole gestorům (viz níže ad 6/) </t>
  </si>
  <si>
    <t xml:space="preserve"> = listy ke vložení definitivních dat</t>
  </si>
  <si>
    <t>0</t>
  </si>
  <si>
    <t xml:space="preserve">                     3.Peněžní prostředky na účtech</t>
  </si>
  <si>
    <t>43 KaM Centrum Krystal</t>
  </si>
  <si>
    <t>43 KaM k. Na Kotli - Hradec Králové</t>
  </si>
  <si>
    <t xml:space="preserve">            27.Tvorba a použití rezerv a opravných položek</t>
  </si>
  <si>
    <t>133D22E000009</t>
  </si>
  <si>
    <t>UK - PF - oprava fasády a oken 1.část</t>
  </si>
  <si>
    <t>133D22E000010</t>
  </si>
  <si>
    <t>133D22E000012</t>
  </si>
  <si>
    <t>UK - SBZ - Revitalizace objektů Karolina - Rekonstrukce historických prostor - Stavební úpravy Křížovýh chodeb</t>
  </si>
  <si>
    <t>133D22E000013</t>
  </si>
  <si>
    <t>133D22E000015</t>
  </si>
  <si>
    <t>133D22E000016</t>
  </si>
  <si>
    <t>133D22E000019</t>
  </si>
  <si>
    <t>UK - SBZ - Rekonstrukce stavebních a technických součástí záložního zdroje Karolinum</t>
  </si>
  <si>
    <t>UK - FTVS - Zateplení bloku A, B, C, D a modernizace fasády bloku E, F, H, objektu Veleslavín</t>
  </si>
  <si>
    <t>UK - PF - Oprava fasády a oken, 2. část</t>
  </si>
  <si>
    <t>133D241000009</t>
  </si>
  <si>
    <t>133D241000011</t>
  </si>
  <si>
    <t>UK - 1.LF - Instalace systému VZT a klimatizace, Studničkova 2</t>
  </si>
  <si>
    <t>133D241000017</t>
  </si>
  <si>
    <t>133D221000053</t>
  </si>
  <si>
    <t>133D221000054</t>
  </si>
  <si>
    <t>133D221000055</t>
  </si>
  <si>
    <t>133D221000056</t>
  </si>
  <si>
    <t>133D22E000004</t>
  </si>
  <si>
    <t>133D241000010</t>
  </si>
  <si>
    <t>2024: je-li zde rozdíl, pak je to JEN nutnou manuální korekcí u RUK v DČ (viz přičtená částka, která "narovná" HV na podepsanou VZZ)</t>
  </si>
  <si>
    <t>UK - FF Rekonstrukce a dostavba objektů Opletalovala 47 a 49  **)</t>
  </si>
  <si>
    <t>UK - ETF - Generální rekonstrukce budovy ETF, Černá 9           **)</t>
  </si>
  <si>
    <t>UK - 1.LF - Revitalizace obvodového pláště, Albertov 4       **)</t>
  </si>
  <si>
    <t>UK - Novostavba Centrální budovy kampusu UK (MEPHARED)  **)</t>
  </si>
  <si>
    <t>UK - KaM - Obnova sociálního zařízení a kuchyněk, kolej Na Větrníku  *)</t>
  </si>
  <si>
    <t>UK KaM - Přestavba objektu č.5 na kolej - Praha, Hostivař  *)</t>
  </si>
  <si>
    <t>UK KaM - Reko sdílených sociálek a kuchyní na 3 blocích, kolej Na Kotli, HK    *)</t>
  </si>
  <si>
    <t>UK KaM - Reko a oprava bloku B, kolej Kajetánka I    *)</t>
  </si>
  <si>
    <t>UK - SBZ - Revitalizace objektů Karolina - Rekonstrukce chodeb rektorátu a výukové části                                              6)</t>
  </si>
  <si>
    <t>UK - 3.LF - Vybavení laboratoře pro práci s otevřenými zářiči  6)</t>
  </si>
  <si>
    <t>*)   Ve sloupci "Vratka nevyčerpaných prostředků" platí: kladné číslo představuje nevyčerpané finanční prostředky, které nebyly vráceny na MŠMT a budou použity v následujícím roce.</t>
  </si>
  <si>
    <t>**) Ve sloupci "Vratka nevyčerpaných prostředků" platí: záporné číslo představuje finanční prostředky použité z předchozího roku.</t>
  </si>
  <si>
    <t>na úroky z úvěru čl. 3 OR 19/2024</t>
  </si>
  <si>
    <t>na úroky z úvěru čl. 4 OR 19/2024</t>
  </si>
  <si>
    <t>příspěvek na stravování čl. 7 OR 19/2024</t>
  </si>
  <si>
    <t>příspěvek na stravování čl. 8 OR 19/2024</t>
  </si>
  <si>
    <t>1.LF vratka projektu NPO Transformace</t>
  </si>
  <si>
    <t>FSV přeúčtování projektu NPO Transformace</t>
  </si>
  <si>
    <t>PřF Nadace Partnerství</t>
  </si>
  <si>
    <t xml:space="preserve">PřF Nadační fond pro podporu vědy </t>
  </si>
  <si>
    <t>ÚJOP čerpání NPO z r. 2023</t>
  </si>
  <si>
    <t>Národní plán obnovy - příspěvek na DPH</t>
  </si>
  <si>
    <t/>
  </si>
  <si>
    <t>OP VVV</t>
  </si>
  <si>
    <t>OP JAK</t>
  </si>
  <si>
    <t>NPO</t>
  </si>
  <si>
    <t>FTVS OP VVV Nábyteček - schválení dotace</t>
  </si>
  <si>
    <t>vrácení prostředků na základě soudního rozhodnutí</t>
  </si>
  <si>
    <t>PřF převod inv. prostředků z 1.LF projekt BIOCEV</t>
  </si>
  <si>
    <t>vyúčtování projektů NPO</t>
  </si>
  <si>
    <t>TZB a opravy</t>
  </si>
  <si>
    <t>pořízení majetku (DHM, DNM, SW)</t>
  </si>
  <si>
    <t>ETF opravy a údržba dlouhodobého majetku</t>
  </si>
  <si>
    <t>1.LF vratka NPO</t>
  </si>
  <si>
    <t>(6) Ve sloupci "Vratka nevyčerpaných prostředků" platí: záporné číslo představuje finanční prostředky použité z předchozího roku.</t>
  </si>
  <si>
    <t>Vratka nevyčerpaných prostředků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</si>
</sst>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 _K_č_-;\-* #,##0.00\ _K_č_-;_-* &quot;-&quot;??\ _K_č_-;_-@_-"/>
    <numFmt numFmtId="165" formatCode="0.000"/>
    <numFmt numFmtId="166" formatCode="#,##0.000"/>
    <numFmt numFmtId="167" formatCode="#,##0_ ;[Red]\-#,##0\ ;\–\ "/>
    <numFmt numFmtId="168" formatCode="#,##0_ ;[Red]\-#,##0\ "/>
    <numFmt numFmtId="169" formatCode="0.0%"/>
    <numFmt numFmtId="170" formatCode="#,##0.00000"/>
    <numFmt numFmtId="171" formatCode="#,##0.000_ ;[Red]\-#,##0.000\ "/>
    <numFmt numFmtId="172" formatCode="#,##0.000000_ ;[Red]\-#,##0.000000\ "/>
    <numFmt numFmtId="173" formatCode="#,##0.00_ ;[Red]\-#,##0.00\ "/>
    <numFmt numFmtId="174" formatCode="#,##0.0000"/>
    <numFmt numFmtId="175" formatCode="#,##0.000000"/>
    <numFmt numFmtId="176" formatCode="#,##0.00000000"/>
    <numFmt numFmtId="177" formatCode="_-* #,##0\ _K_č_-;\-* #,##0\ _K_č_-;_-* &quot;-&quot;??\ _K_č_-;_-@_-"/>
    <numFmt numFmtId="178" formatCode="0.0000000"/>
  </numFmts>
  <fonts count="126" x14ac:knownFonts="1">
    <font>
      <sz val="11"/>
      <color theme="1"/>
      <name val="Calibri"/>
      <family val="2"/>
      <charset val="238"/>
      <scheme val="minor"/>
    </font>
    <font>
      <sz val="11"/>
      <color indexed="8"/>
      <name val="Calibri"/>
      <family val="2"/>
      <charset val="238"/>
    </font>
    <font>
      <sz val="10"/>
      <name val="Arial CE"/>
      <charset val="238"/>
    </font>
    <font>
      <sz val="8"/>
      <name val="Arial CE"/>
      <charset val="238"/>
    </font>
    <font>
      <sz val="10"/>
      <name val="Arial"/>
      <family val="2"/>
      <charset val="238"/>
    </font>
    <font>
      <sz val="10"/>
      <name val="Times New Roman"/>
      <family val="1"/>
      <charset val="238"/>
    </font>
    <font>
      <sz val="10"/>
      <name val="Calibri"/>
      <family val="2"/>
      <charset val="238"/>
    </font>
    <font>
      <b/>
      <sz val="12"/>
      <name val="Calibri"/>
      <family val="2"/>
      <charset val="238"/>
    </font>
    <font>
      <b/>
      <sz val="10"/>
      <name val="Calibri"/>
      <family val="2"/>
      <charset val="238"/>
    </font>
    <font>
      <i/>
      <sz val="10"/>
      <name val="Calibri"/>
      <family val="2"/>
      <charset val="238"/>
    </font>
    <font>
      <sz val="9"/>
      <name val="Calibri"/>
      <family val="2"/>
      <charset val="238"/>
    </font>
    <font>
      <b/>
      <sz val="9"/>
      <name val="Calibri"/>
      <family val="2"/>
      <charset val="238"/>
    </font>
    <font>
      <sz val="10"/>
      <color indexed="8"/>
      <name val="Calibri"/>
      <family val="2"/>
      <charset val="238"/>
    </font>
    <font>
      <b/>
      <sz val="10"/>
      <color indexed="8"/>
      <name val="Calibri"/>
      <family val="2"/>
      <charset val="238"/>
    </font>
    <font>
      <sz val="11"/>
      <name val="Calibri"/>
      <family val="2"/>
      <charset val="238"/>
    </font>
    <font>
      <sz val="8"/>
      <name val="Calibri"/>
      <family val="2"/>
      <charset val="238"/>
    </font>
    <font>
      <sz val="8"/>
      <color indexed="8"/>
      <name val="Calibri"/>
      <family val="2"/>
      <charset val="238"/>
    </font>
    <font>
      <u/>
      <sz val="10"/>
      <name val="Calibri"/>
      <family val="2"/>
      <charset val="238"/>
    </font>
    <font>
      <sz val="12"/>
      <name val="Calibri"/>
      <family val="2"/>
      <charset val="238"/>
    </font>
    <font>
      <sz val="10"/>
      <color indexed="10"/>
      <name val="Calibri"/>
      <family val="2"/>
      <charset val="238"/>
    </font>
    <font>
      <b/>
      <sz val="11"/>
      <color indexed="8"/>
      <name val="Calibri"/>
      <family val="2"/>
      <charset val="238"/>
    </font>
    <font>
      <b/>
      <sz val="11"/>
      <name val="Calibri"/>
      <family val="2"/>
      <charset val="238"/>
    </font>
    <font>
      <b/>
      <sz val="12"/>
      <color indexed="8"/>
      <name val="Calibri"/>
      <family val="2"/>
      <charset val="238"/>
    </font>
    <font>
      <i/>
      <sz val="10"/>
      <color indexed="8"/>
      <name val="Calibri"/>
      <family val="2"/>
      <charset val="238"/>
    </font>
    <font>
      <sz val="10"/>
      <color indexed="48"/>
      <name val="Calibri"/>
      <family val="2"/>
      <charset val="238"/>
    </font>
    <font>
      <sz val="11"/>
      <color indexed="10"/>
      <name val="Calibri"/>
      <family val="2"/>
      <charset val="238"/>
    </font>
    <font>
      <sz val="12"/>
      <color indexed="8"/>
      <name val="Calibri"/>
      <family val="2"/>
      <charset val="238"/>
    </font>
    <font>
      <sz val="10"/>
      <color indexed="30"/>
      <name val="Calibri"/>
      <family val="2"/>
      <charset val="238"/>
    </font>
    <font>
      <vertAlign val="superscript"/>
      <sz val="10"/>
      <color indexed="8"/>
      <name val="Calibri"/>
      <family val="2"/>
      <charset val="238"/>
    </font>
    <font>
      <sz val="10"/>
      <color indexed="12"/>
      <name val="Calibri"/>
      <family val="2"/>
      <charset val="238"/>
    </font>
    <font>
      <b/>
      <sz val="16"/>
      <name val="Calibri"/>
      <family val="2"/>
      <charset val="238"/>
    </font>
    <font>
      <b/>
      <sz val="14"/>
      <name val="Calibri"/>
      <family val="2"/>
      <charset val="238"/>
    </font>
    <font>
      <sz val="16"/>
      <name val="Calibri"/>
      <family val="2"/>
      <charset val="238"/>
    </font>
    <font>
      <sz val="9"/>
      <color indexed="81"/>
      <name val="Tahoma"/>
      <family val="2"/>
      <charset val="238"/>
    </font>
    <font>
      <sz val="8"/>
      <name val="Tahoma"/>
      <family val="2"/>
      <charset val="238"/>
    </font>
    <font>
      <sz val="14"/>
      <color indexed="8"/>
      <name val="Calibri"/>
      <family val="2"/>
      <charset val="238"/>
    </font>
    <font>
      <sz val="14"/>
      <name val="Calibri"/>
      <family val="2"/>
      <charset val="238"/>
    </font>
    <font>
      <b/>
      <sz val="20"/>
      <name val="Calibri"/>
      <family val="2"/>
      <charset val="238"/>
    </font>
    <font>
      <i/>
      <sz val="10"/>
      <color indexed="23"/>
      <name val="Calibri"/>
      <family val="2"/>
      <charset val="238"/>
    </font>
    <font>
      <b/>
      <sz val="18"/>
      <name val="Calibri"/>
      <family val="2"/>
      <charset val="238"/>
    </font>
    <font>
      <sz val="11"/>
      <color indexed="55"/>
      <name val="Calibri"/>
      <family val="2"/>
      <charset val="238"/>
    </font>
    <font>
      <b/>
      <sz val="9"/>
      <color indexed="81"/>
      <name val="Tahoma"/>
      <family val="2"/>
      <charset val="238"/>
    </font>
    <font>
      <b/>
      <sz val="22"/>
      <name val="Calibri"/>
      <family val="2"/>
      <charset val="238"/>
    </font>
    <font>
      <sz val="20"/>
      <name val="Calibri"/>
      <family val="2"/>
      <charset val="238"/>
    </font>
    <font>
      <b/>
      <sz val="24"/>
      <name val="Calibri"/>
      <family val="2"/>
      <charset val="238"/>
    </font>
    <font>
      <b/>
      <sz val="17"/>
      <name val="Calibri"/>
      <family val="2"/>
      <charset val="238"/>
    </font>
    <font>
      <b/>
      <sz val="10"/>
      <color indexed="48"/>
      <name val="Calibri"/>
      <family val="2"/>
      <charset val="238"/>
    </font>
    <font>
      <b/>
      <sz val="8"/>
      <name val="Calibri"/>
      <family val="2"/>
      <charset val="238"/>
    </font>
    <font>
      <b/>
      <sz val="18"/>
      <color indexed="8"/>
      <name val="Calibri"/>
      <family val="2"/>
      <charset val="238"/>
    </font>
    <font>
      <b/>
      <sz val="18"/>
      <color indexed="10"/>
      <name val="Calibri"/>
      <family val="2"/>
      <charset val="238"/>
    </font>
    <font>
      <b/>
      <sz val="20"/>
      <color indexed="8"/>
      <name val="Calibri"/>
      <family val="2"/>
      <charset val="238"/>
    </font>
    <font>
      <i/>
      <sz val="8"/>
      <name val="Calibri"/>
      <family val="2"/>
      <charset val="238"/>
    </font>
    <font>
      <sz val="12"/>
      <name val="Cambria"/>
      <family val="1"/>
      <charset val="238"/>
    </font>
    <font>
      <b/>
      <sz val="12"/>
      <name val="Cambria"/>
      <family val="1"/>
      <charset val="238"/>
    </font>
    <font>
      <b/>
      <i/>
      <sz val="10"/>
      <name val="Calibri"/>
      <family val="2"/>
      <charset val="238"/>
    </font>
    <font>
      <i/>
      <u/>
      <sz val="10"/>
      <color indexed="8"/>
      <name val="Calibri"/>
      <family val="2"/>
      <charset val="238"/>
    </font>
    <font>
      <b/>
      <sz val="11"/>
      <color indexed="10"/>
      <name val="Calibri"/>
      <family val="2"/>
      <charset val="238"/>
    </font>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11"/>
      <color rgb="FFFF0000"/>
      <name val="Calibri"/>
      <family val="2"/>
      <charset val="238"/>
      <scheme val="minor"/>
    </font>
    <font>
      <sz val="10"/>
      <name val="Calibri"/>
      <family val="2"/>
      <charset val="238"/>
      <scheme val="minor"/>
    </font>
    <font>
      <i/>
      <sz val="10"/>
      <name val="Calibri"/>
      <family val="2"/>
      <charset val="238"/>
      <scheme val="minor"/>
    </font>
    <font>
      <b/>
      <sz val="12"/>
      <name val="Calibri"/>
      <family val="2"/>
      <charset val="238"/>
      <scheme val="minor"/>
    </font>
    <font>
      <sz val="10"/>
      <color rgb="FFFF0000"/>
      <name val="Calibri"/>
      <family val="2"/>
      <charset val="238"/>
      <scheme val="minor"/>
    </font>
    <font>
      <sz val="11"/>
      <color theme="0" tint="-0.34998626667073579"/>
      <name val="Calibri"/>
      <family val="2"/>
      <charset val="238"/>
      <scheme val="minor"/>
    </font>
    <font>
      <i/>
      <sz val="10"/>
      <color theme="1"/>
      <name val="Calibri"/>
      <family val="2"/>
      <charset val="238"/>
      <scheme val="minor"/>
    </font>
    <font>
      <sz val="10"/>
      <color rgb="FF0070C0"/>
      <name val="Calibri"/>
      <family val="2"/>
      <charset val="238"/>
    </font>
    <font>
      <sz val="10"/>
      <color theme="1"/>
      <name val="Calibri"/>
      <family val="2"/>
      <charset val="238"/>
      <scheme val="minor"/>
    </font>
    <font>
      <sz val="12"/>
      <name val="Calibri"/>
      <family val="2"/>
      <charset val="238"/>
      <scheme val="minor"/>
    </font>
    <font>
      <sz val="12"/>
      <color theme="1"/>
      <name val="Calibri"/>
      <family val="2"/>
      <charset val="238"/>
      <scheme val="minor"/>
    </font>
    <font>
      <b/>
      <sz val="20"/>
      <name val="Calibri"/>
      <family val="2"/>
      <charset val="238"/>
      <scheme val="minor"/>
    </font>
    <font>
      <sz val="11"/>
      <color theme="0" tint="-0.249977111117893"/>
      <name val="Calibri"/>
      <family val="2"/>
      <charset val="238"/>
      <scheme val="minor"/>
    </font>
    <font>
      <sz val="10"/>
      <color theme="0" tint="-0.249977111117893"/>
      <name val="Calibri"/>
      <family val="2"/>
      <charset val="238"/>
    </font>
    <font>
      <b/>
      <sz val="11"/>
      <color theme="0" tint="-0.249977111117893"/>
      <name val="Calibri"/>
      <family val="2"/>
      <charset val="238"/>
    </font>
    <font>
      <b/>
      <sz val="11"/>
      <color rgb="FFFF0000"/>
      <name val="Calibri"/>
      <family val="2"/>
      <charset val="238"/>
      <scheme val="minor"/>
    </font>
    <font>
      <i/>
      <sz val="8"/>
      <color rgb="FFFF0000"/>
      <name val="Calibri"/>
      <family val="2"/>
      <charset val="238"/>
    </font>
    <font>
      <sz val="10"/>
      <color theme="0" tint="-0.14999847407452621"/>
      <name val="Calibri"/>
      <family val="2"/>
      <charset val="238"/>
    </font>
    <font>
      <i/>
      <sz val="10"/>
      <color theme="0" tint="-0.14999847407452621"/>
      <name val="Calibri"/>
      <family val="2"/>
      <charset val="238"/>
    </font>
    <font>
      <sz val="10"/>
      <color rgb="FFFF0000"/>
      <name val="Calibri"/>
      <family val="2"/>
      <charset val="238"/>
    </font>
    <font>
      <sz val="11"/>
      <color rgb="FF00B050"/>
      <name val="Calibri"/>
      <family val="2"/>
      <charset val="238"/>
      <scheme val="minor"/>
    </font>
    <font>
      <sz val="10"/>
      <color rgb="FF00B050"/>
      <name val="Calibri"/>
      <family val="2"/>
      <charset val="238"/>
    </font>
    <font>
      <i/>
      <sz val="8"/>
      <color rgb="FF00B050"/>
      <name val="Calibri"/>
      <family val="2"/>
      <charset val="238"/>
      <scheme val="minor"/>
    </font>
    <font>
      <b/>
      <sz val="20"/>
      <color theme="1"/>
      <name val="Cambria"/>
      <family val="1"/>
      <charset val="238"/>
      <scheme val="major"/>
    </font>
    <font>
      <sz val="11"/>
      <color theme="1"/>
      <name val="Cambria"/>
      <family val="1"/>
      <charset val="238"/>
      <scheme val="major"/>
    </font>
    <font>
      <sz val="11"/>
      <name val="Cambria"/>
      <family val="1"/>
      <charset val="238"/>
      <scheme val="major"/>
    </font>
    <font>
      <b/>
      <sz val="12"/>
      <name val="Cambria"/>
      <family val="1"/>
      <charset val="238"/>
      <scheme val="major"/>
    </font>
    <font>
      <sz val="10"/>
      <name val="Cambria"/>
      <family val="1"/>
      <charset val="238"/>
      <scheme val="major"/>
    </font>
    <font>
      <i/>
      <sz val="10"/>
      <color rgb="FFFF0000"/>
      <name val="Calibri"/>
      <family val="2"/>
      <charset val="238"/>
    </font>
    <font>
      <sz val="10"/>
      <color rgb="FF00B0F0"/>
      <name val="Times New Roman"/>
      <family val="1"/>
      <charset val="238"/>
    </font>
    <font>
      <i/>
      <u/>
      <sz val="10"/>
      <color theme="1"/>
      <name val="Calibri"/>
      <family val="2"/>
      <charset val="238"/>
    </font>
    <font>
      <i/>
      <sz val="10"/>
      <color theme="1"/>
      <name val="Calibri"/>
      <family val="2"/>
      <charset val="238"/>
    </font>
    <font>
      <sz val="8"/>
      <color rgb="FFFF0000"/>
      <name val="Calibri"/>
      <family val="2"/>
      <charset val="238"/>
    </font>
    <font>
      <sz val="8"/>
      <color rgb="FF00B050"/>
      <name val="Calibri"/>
      <family val="2"/>
      <charset val="238"/>
    </font>
    <font>
      <sz val="10"/>
      <color theme="0"/>
      <name val="Calibri"/>
      <family val="2"/>
      <charset val="238"/>
    </font>
    <font>
      <b/>
      <sz val="10"/>
      <color rgb="FF00B050"/>
      <name val="Calibri"/>
      <family val="2"/>
      <charset val="238"/>
    </font>
    <font>
      <b/>
      <sz val="10"/>
      <color rgb="FFFF0000"/>
      <name val="Calibri"/>
      <family val="2"/>
      <charset val="238"/>
    </font>
    <font>
      <b/>
      <i/>
      <sz val="10"/>
      <color rgb="FFFF0000"/>
      <name val="Calibri"/>
      <family val="2"/>
      <charset val="238"/>
    </font>
    <font>
      <sz val="10"/>
      <color rgb="FFFF0000"/>
      <name val="Times New Roman"/>
      <family val="1"/>
      <charset val="238"/>
    </font>
    <font>
      <b/>
      <sz val="10"/>
      <name val="Calibri"/>
      <family val="2"/>
      <charset val="238"/>
      <scheme val="minor"/>
    </font>
    <font>
      <sz val="8"/>
      <name val="Calibri"/>
      <family val="2"/>
      <charset val="238"/>
      <scheme val="minor"/>
    </font>
    <font>
      <b/>
      <sz val="10"/>
      <color theme="1"/>
      <name val="Calibri"/>
      <family val="2"/>
      <charset val="238"/>
      <scheme val="minor"/>
    </font>
    <font>
      <sz val="8"/>
      <color theme="1"/>
      <name val="Verdana"/>
      <family val="2"/>
      <charset val="238"/>
    </font>
    <font>
      <b/>
      <sz val="10"/>
      <color rgb="FF000000"/>
      <name val="Calibri"/>
      <family val="2"/>
      <charset val="238"/>
    </font>
    <font>
      <sz val="10"/>
      <color theme="1"/>
      <name val="Calibri"/>
      <family val="2"/>
      <charset val="238"/>
    </font>
    <font>
      <sz val="11"/>
      <name val="Calibri"/>
      <family val="2"/>
      <charset val="238"/>
      <scheme val="minor"/>
    </font>
    <font>
      <sz val="14"/>
      <name val="Calibri"/>
      <family val="2"/>
      <charset val="238"/>
      <scheme val="minor"/>
    </font>
    <font>
      <vertAlign val="superscript"/>
      <sz val="10"/>
      <color theme="1"/>
      <name val="Calibri"/>
      <family val="2"/>
      <charset val="238"/>
    </font>
    <font>
      <b/>
      <sz val="16"/>
      <color rgb="FFFF0000"/>
      <name val="Calibri"/>
      <family val="2"/>
      <charset val="238"/>
    </font>
    <font>
      <b/>
      <sz val="18"/>
      <color rgb="FFFF0000"/>
      <name val="Calibri"/>
      <family val="2"/>
      <charset val="238"/>
      <scheme val="minor"/>
    </font>
    <font>
      <b/>
      <sz val="16"/>
      <color theme="1"/>
      <name val="Cambria"/>
      <family val="1"/>
      <charset val="238"/>
      <scheme val="major"/>
    </font>
    <font>
      <sz val="8"/>
      <color theme="0"/>
      <name val="Calibri"/>
      <family val="2"/>
      <charset val="238"/>
    </font>
    <font>
      <sz val="10"/>
      <color theme="0"/>
      <name val="Calibri"/>
      <family val="2"/>
      <charset val="238"/>
      <scheme val="minor"/>
    </font>
    <font>
      <sz val="8"/>
      <color rgb="FF000000"/>
      <name val="Calibri"/>
      <family val="2"/>
      <charset val="238"/>
    </font>
    <font>
      <sz val="11"/>
      <color theme="0"/>
      <name val="Calibri"/>
      <family val="2"/>
      <charset val="238"/>
      <scheme val="minor"/>
    </font>
    <font>
      <sz val="11"/>
      <color theme="0"/>
      <name val="Calibri"/>
      <family val="2"/>
      <charset val="238"/>
    </font>
    <font>
      <b/>
      <sz val="10"/>
      <color theme="0"/>
      <name val="Calibri"/>
      <family val="2"/>
      <charset val="238"/>
    </font>
    <font>
      <sz val="10"/>
      <color rgb="FF000000"/>
      <name val="Calibri"/>
      <family val="2"/>
      <charset val="238"/>
    </font>
    <font>
      <sz val="10"/>
      <color rgb="FF3366FF"/>
      <name val="Calibri"/>
      <family val="2"/>
      <charset val="238"/>
    </font>
    <font>
      <sz val="14"/>
      <color theme="1"/>
      <name val="Calibri"/>
      <family val="2"/>
      <charset val="238"/>
    </font>
    <font>
      <b/>
      <sz val="10"/>
      <color theme="1"/>
      <name val="Calibri"/>
      <family val="2"/>
      <charset val="238"/>
    </font>
    <font>
      <sz val="9"/>
      <color theme="1"/>
      <name val="Calibri"/>
      <family val="2"/>
      <charset val="238"/>
    </font>
    <font>
      <sz val="12"/>
      <name val="Cambria"/>
      <family val="1"/>
      <charset val="238"/>
      <scheme val="major"/>
    </font>
    <font>
      <b/>
      <sz val="8"/>
      <color rgb="FF00B050"/>
      <name val="Calibri"/>
      <family val="2"/>
      <charset val="238"/>
    </font>
    <font>
      <u/>
      <sz val="10"/>
      <color indexed="8"/>
      <name val="Calibri"/>
      <family val="2"/>
      <charset val="238"/>
    </font>
    <font>
      <sz val="9"/>
      <color theme="0"/>
      <name val="Calibri"/>
      <family val="2"/>
      <charset val="238"/>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EAEAEA"/>
        <bgColor indexed="64"/>
      </patternFill>
    </fill>
    <fill>
      <patternFill patternType="solid">
        <fgColor theme="9" tint="-0.249977111117893"/>
        <bgColor indexed="64"/>
      </patternFill>
    </fill>
    <fill>
      <patternFill patternType="solid">
        <fgColor rgb="FFFFFF00"/>
        <bgColor indexed="64"/>
      </patternFill>
    </fill>
    <fill>
      <patternFill patternType="solid">
        <fgColor theme="3" tint="0.39997558519241921"/>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99"/>
        <bgColor indexed="64"/>
      </patternFill>
    </fill>
    <fill>
      <patternFill patternType="solid">
        <fgColor rgb="FF00B0F0"/>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rgb="FFD8D8D8"/>
        <bgColor rgb="FFD8D8D8"/>
      </patternFill>
    </fill>
    <fill>
      <patternFill patternType="solid">
        <fgColor rgb="FFF2F2F2"/>
        <bgColor indexed="64"/>
      </patternFill>
    </fill>
    <fill>
      <patternFill patternType="solid">
        <fgColor theme="8" tint="0.79998168889431442"/>
        <bgColor indexed="64"/>
      </patternFill>
    </fill>
    <fill>
      <patternFill patternType="solid">
        <fgColor rgb="FFFFCCCC"/>
        <bgColor indexed="64"/>
      </patternFill>
    </fill>
  </fills>
  <borders count="169">
    <border>
      <left/>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55"/>
      </bottom>
      <diagonal/>
    </border>
    <border>
      <left style="medium">
        <color indexed="64"/>
      </left>
      <right/>
      <top style="thin">
        <color indexed="22"/>
      </top>
      <bottom style="thin">
        <color indexed="22"/>
      </bottom>
      <diagonal/>
    </border>
    <border>
      <left style="medium">
        <color indexed="64"/>
      </left>
      <right/>
      <top style="thin">
        <color indexed="55"/>
      </top>
      <bottom style="thin">
        <color indexed="55"/>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style="medium">
        <color indexed="64"/>
      </left>
      <right/>
      <top style="thin">
        <color indexed="55"/>
      </top>
      <bottom style="medium">
        <color indexed="64"/>
      </bottom>
      <diagonal/>
    </border>
    <border>
      <left style="medium">
        <color indexed="64"/>
      </left>
      <right/>
      <top/>
      <bottom style="thin">
        <color indexed="55"/>
      </bottom>
      <diagonal/>
    </border>
    <border>
      <left/>
      <right style="medium">
        <color indexed="64"/>
      </right>
      <top style="thin">
        <color indexed="22"/>
      </top>
      <bottom style="medium">
        <color indexed="64"/>
      </bottom>
      <diagonal/>
    </border>
    <border>
      <left/>
      <right/>
      <top/>
      <bottom style="medium">
        <color indexed="64"/>
      </bottom>
      <diagonal/>
    </border>
    <border>
      <left style="hair">
        <color indexed="64"/>
      </left>
      <right/>
      <top style="medium">
        <color indexed="64"/>
      </top>
      <bottom/>
      <diagonal/>
    </border>
    <border>
      <left/>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diagonal/>
    </border>
    <border>
      <left style="medium">
        <color indexed="64"/>
      </left>
      <right style="thin">
        <color indexed="64"/>
      </right>
      <top style="medium">
        <color indexed="64"/>
      </top>
      <bottom style="thin">
        <color indexed="55"/>
      </bottom>
      <diagonal/>
    </border>
    <border>
      <left/>
      <right/>
      <top style="medium">
        <color indexed="64"/>
      </top>
      <bottom style="thin">
        <color indexed="55"/>
      </bottom>
      <diagonal/>
    </border>
    <border>
      <left style="thin">
        <color indexed="64"/>
      </left>
      <right/>
      <top style="medium">
        <color indexed="64"/>
      </top>
      <bottom style="thin">
        <color indexed="55"/>
      </bottom>
      <diagonal/>
    </border>
    <border>
      <left style="thin">
        <color indexed="64"/>
      </left>
      <right style="medium">
        <color indexed="64"/>
      </right>
      <top style="medium">
        <color indexed="64"/>
      </top>
      <bottom style="thin">
        <color indexed="55"/>
      </bottom>
      <diagonal/>
    </border>
    <border>
      <left style="medium">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indexed="64"/>
      </left>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bottom style="hair">
        <color indexed="64"/>
      </bottom>
      <diagonal/>
    </border>
    <border>
      <left/>
      <right style="thin">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55"/>
      </top>
      <bottom style="medium">
        <color indexed="64"/>
      </bottom>
      <diagonal/>
    </border>
    <border>
      <left/>
      <right/>
      <top style="thin">
        <color indexed="55"/>
      </top>
      <bottom style="medium">
        <color indexed="64"/>
      </bottom>
      <diagonal/>
    </border>
    <border>
      <left style="thin">
        <color indexed="64"/>
      </left>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bottom style="thin">
        <color indexed="22"/>
      </bottom>
      <diagonal/>
    </border>
    <border>
      <left/>
      <right/>
      <top/>
      <bottom style="thin">
        <color indexed="22"/>
      </bottom>
      <diagonal/>
    </border>
    <border>
      <left/>
      <right style="medium">
        <color indexed="64"/>
      </right>
      <top/>
      <bottom style="thin">
        <color indexed="22"/>
      </bottom>
      <diagonal/>
    </border>
    <border>
      <left style="hair">
        <color indexed="64"/>
      </left>
      <right/>
      <top/>
      <bottom/>
      <diagonal/>
    </border>
    <border>
      <left style="hair">
        <color indexed="64"/>
      </left>
      <right/>
      <top/>
      <bottom style="medium">
        <color indexed="64"/>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style="hair">
        <color indexed="64"/>
      </right>
      <top style="medium">
        <color indexed="64"/>
      </top>
      <bottom style="thin">
        <color indexed="64"/>
      </bottom>
      <diagonal/>
    </border>
    <border>
      <left style="hair">
        <color indexed="64"/>
      </left>
      <right style="thin">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top style="thin">
        <color indexed="64"/>
      </top>
      <bottom style="medium">
        <color indexed="64"/>
      </bottom>
      <diagonal/>
    </border>
    <border>
      <left/>
      <right style="medium">
        <color rgb="FF000000"/>
      </right>
      <top style="thin">
        <color rgb="FF000000"/>
      </top>
      <bottom style="thin">
        <color rgb="FF000000"/>
      </bottom>
      <diagonal/>
    </border>
    <border>
      <left style="medium">
        <color indexed="64"/>
      </left>
      <right style="medium">
        <color indexed="64"/>
      </right>
      <top style="hair">
        <color indexed="64"/>
      </top>
      <bottom style="hair">
        <color indexed="64"/>
      </bottom>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hair">
        <color indexed="64"/>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s>
  <cellStyleXfs count="18">
    <xf numFmtId="0" fontId="0" fillId="0" borderId="0"/>
    <xf numFmtId="164"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59" fillId="0" borderId="0" applyNumberFormat="0" applyFill="0" applyBorder="0" applyAlignment="0" applyProtection="0"/>
    <xf numFmtId="0" fontId="34" fillId="0" borderId="0"/>
    <xf numFmtId="0" fontId="34" fillId="0" borderId="0"/>
    <xf numFmtId="0" fontId="34" fillId="0" borderId="0"/>
    <xf numFmtId="0" fontId="34" fillId="0" borderId="0"/>
    <xf numFmtId="0" fontId="4" fillId="0" borderId="0"/>
    <xf numFmtId="0" fontId="2" fillId="0" borderId="0"/>
    <xf numFmtId="0" fontId="4" fillId="0" borderId="0"/>
    <xf numFmtId="0" fontId="3" fillId="0" borderId="0"/>
    <xf numFmtId="0" fontId="2" fillId="0" borderId="0"/>
    <xf numFmtId="9" fontId="5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693">
    <xf numFmtId="0" fontId="0" fillId="0" borderId="0" xfId="0"/>
    <xf numFmtId="0" fontId="4" fillId="0" borderId="0" xfId="9" applyAlignment="1">
      <alignment vertical="center"/>
    </xf>
    <xf numFmtId="0" fontId="5" fillId="0" borderId="0" xfId="9" applyFont="1" applyAlignment="1" applyProtection="1">
      <alignment vertical="center"/>
      <protection locked="0"/>
    </xf>
    <xf numFmtId="0" fontId="5" fillId="0" borderId="0" xfId="9" applyFont="1" applyAlignment="1">
      <alignment vertical="center"/>
    </xf>
    <xf numFmtId="0" fontId="5" fillId="0" borderId="0" xfId="9" applyFont="1" applyAlignment="1">
      <alignment horizontal="center" vertical="center"/>
    </xf>
    <xf numFmtId="0" fontId="61" fillId="0" borderId="0" xfId="9" applyFont="1" applyAlignment="1" applyProtection="1">
      <alignment vertical="center"/>
      <protection locked="0"/>
    </xf>
    <xf numFmtId="0" fontId="61" fillId="0" borderId="0" xfId="9" applyFont="1" applyAlignment="1">
      <alignment vertical="center"/>
    </xf>
    <xf numFmtId="0" fontId="6" fillId="0" borderId="0" xfId="9" applyFont="1" applyAlignment="1" applyProtection="1">
      <alignment vertical="center"/>
      <protection locked="0"/>
    </xf>
    <xf numFmtId="0" fontId="6" fillId="0" borderId="0" xfId="9" applyFont="1" applyAlignment="1">
      <alignment vertical="center"/>
    </xf>
    <xf numFmtId="0" fontId="6" fillId="0" borderId="0" xfId="9" applyFont="1" applyAlignment="1">
      <alignment horizontal="center" vertical="center"/>
    </xf>
    <xf numFmtId="49" fontId="6" fillId="0" borderId="0" xfId="9" applyNumberFormat="1" applyFont="1" applyAlignment="1" applyProtection="1">
      <alignment vertical="center"/>
      <protection locked="0"/>
    </xf>
    <xf numFmtId="49" fontId="6" fillId="0" borderId="0" xfId="9" applyNumberFormat="1" applyFont="1" applyAlignment="1">
      <alignment vertical="center"/>
    </xf>
    <xf numFmtId="0" fontId="7" fillId="0" borderId="0" xfId="9" applyFont="1" applyAlignment="1" applyProtection="1">
      <alignment vertical="center"/>
      <protection locked="0"/>
    </xf>
    <xf numFmtId="0" fontId="6" fillId="0" borderId="0" xfId="9" applyFont="1" applyAlignment="1" applyProtection="1">
      <alignment horizontal="right" vertical="center"/>
      <protection locked="0"/>
    </xf>
    <xf numFmtId="0" fontId="9" fillId="0" borderId="0" xfId="9" applyFont="1" applyAlignment="1" applyProtection="1">
      <alignment vertical="center"/>
      <protection locked="0"/>
    </xf>
    <xf numFmtId="0" fontId="62" fillId="0" borderId="0" xfId="9" applyFont="1" applyAlignment="1" applyProtection="1">
      <alignment vertical="center"/>
      <protection locked="0"/>
    </xf>
    <xf numFmtId="0" fontId="61" fillId="0" borderId="0" xfId="9" applyFont="1" applyAlignment="1" applyProtection="1">
      <alignment horizontal="center" vertical="center"/>
      <protection locked="0"/>
    </xf>
    <xf numFmtId="0" fontId="61" fillId="0" borderId="0" xfId="9" applyFont="1" applyAlignment="1">
      <alignment horizontal="center" vertical="center"/>
    </xf>
    <xf numFmtId="0" fontId="58" fillId="0" borderId="0" xfId="0" applyFont="1" applyAlignment="1">
      <alignment vertical="center"/>
    </xf>
    <xf numFmtId="0" fontId="6" fillId="0" borderId="0" xfId="10" applyFont="1" applyAlignment="1">
      <alignment vertical="center"/>
    </xf>
    <xf numFmtId="3" fontId="6" fillId="0" borderId="1" xfId="9" applyNumberFormat="1" applyFont="1" applyBorder="1" applyAlignment="1" applyProtection="1">
      <alignment horizontal="right" vertical="center" wrapText="1" indent="1"/>
      <protection locked="0"/>
    </xf>
    <xf numFmtId="3" fontId="6" fillId="0" borderId="2" xfId="9" applyNumberFormat="1" applyFont="1" applyBorder="1" applyAlignment="1" applyProtection="1">
      <alignment horizontal="right" vertical="center" wrapText="1" indent="1"/>
      <protection locked="0"/>
    </xf>
    <xf numFmtId="3" fontId="6" fillId="0" borderId="3" xfId="9" applyNumberFormat="1" applyFont="1" applyBorder="1" applyAlignment="1" applyProtection="1">
      <alignment horizontal="right" vertical="center" wrapText="1" indent="1"/>
      <protection locked="0"/>
    </xf>
    <xf numFmtId="3" fontId="6" fillId="0" borderId="4" xfId="9" applyNumberFormat="1" applyFont="1" applyBorder="1" applyAlignment="1" applyProtection="1">
      <alignment horizontal="right" vertical="center" wrapText="1" indent="1"/>
      <protection locked="0"/>
    </xf>
    <xf numFmtId="3" fontId="8" fillId="0" borderId="5" xfId="9" applyNumberFormat="1" applyFont="1" applyBorder="1" applyAlignment="1" applyProtection="1">
      <alignment horizontal="right" vertical="center" wrapText="1" indent="1"/>
      <protection hidden="1"/>
    </xf>
    <xf numFmtId="3" fontId="8" fillId="0" borderId="6" xfId="9" applyNumberFormat="1" applyFont="1" applyBorder="1" applyAlignment="1" applyProtection="1">
      <alignment horizontal="right" vertical="center" wrapText="1" indent="1"/>
      <protection hidden="1"/>
    </xf>
    <xf numFmtId="3" fontId="8" fillId="0" borderId="7" xfId="9" applyNumberFormat="1" applyFont="1" applyBorder="1" applyAlignment="1" applyProtection="1">
      <alignment horizontal="right" vertical="center" wrapText="1" indent="1"/>
      <protection hidden="1"/>
    </xf>
    <xf numFmtId="0" fontId="6" fillId="0" borderId="1" xfId="9" applyFont="1" applyBorder="1" applyAlignment="1">
      <alignment horizontal="center" vertical="center"/>
    </xf>
    <xf numFmtId="0" fontId="6" fillId="0" borderId="8" xfId="9" applyFont="1" applyBorder="1" applyAlignment="1" applyProtection="1">
      <alignment horizontal="center" vertical="center" wrapText="1"/>
      <protection locked="0"/>
    </xf>
    <xf numFmtId="0" fontId="6" fillId="0" borderId="9" xfId="9" applyFont="1" applyBorder="1" applyAlignment="1" applyProtection="1">
      <alignment horizontal="center" vertical="center" wrapText="1"/>
      <protection locked="0"/>
    </xf>
    <xf numFmtId="0" fontId="6" fillId="0" borderId="10" xfId="9" applyFont="1" applyBorder="1" applyAlignment="1" applyProtection="1">
      <alignment horizontal="center" vertical="center" wrapText="1"/>
      <protection locked="0"/>
    </xf>
    <xf numFmtId="0" fontId="6" fillId="0" borderId="11" xfId="9" applyFont="1" applyBorder="1" applyAlignment="1" applyProtection="1">
      <alignment horizontal="center" vertical="center" wrapText="1"/>
      <protection locked="0"/>
    </xf>
    <xf numFmtId="0" fontId="6" fillId="0" borderId="12" xfId="9" applyFont="1" applyBorder="1" applyAlignment="1" applyProtection="1">
      <alignment horizontal="center" vertical="center" wrapText="1"/>
      <protection locked="0"/>
    </xf>
    <xf numFmtId="0" fontId="6" fillId="0" borderId="3" xfId="9" applyFont="1" applyBorder="1" applyAlignment="1" applyProtection="1">
      <alignment horizontal="center" vertical="center" wrapText="1"/>
      <protection locked="0"/>
    </xf>
    <xf numFmtId="0" fontId="6" fillId="0" borderId="13" xfId="9" applyFont="1" applyBorder="1" applyAlignment="1" applyProtection="1">
      <alignment horizontal="center" vertical="center" wrapText="1"/>
      <protection locked="0"/>
    </xf>
    <xf numFmtId="0" fontId="6" fillId="0" borderId="14" xfId="9" applyFont="1" applyBorder="1" applyAlignment="1" applyProtection="1">
      <alignment horizontal="center" vertical="center" wrapText="1"/>
      <protection locked="0"/>
    </xf>
    <xf numFmtId="0" fontId="6" fillId="0" borderId="15" xfId="9" applyFont="1" applyBorder="1" applyAlignment="1" applyProtection="1">
      <alignment horizontal="center" vertical="center" wrapText="1"/>
      <protection locked="0"/>
    </xf>
    <xf numFmtId="0" fontId="12" fillId="0" borderId="13" xfId="0" applyFont="1" applyBorder="1" applyAlignment="1">
      <alignment horizontal="center" vertical="center"/>
    </xf>
    <xf numFmtId="0" fontId="12" fillId="0" borderId="16" xfId="0" applyFont="1" applyBorder="1" applyAlignment="1">
      <alignment horizontal="center" vertical="center" wrapText="1" shrinkToFit="1"/>
    </xf>
    <xf numFmtId="0" fontId="63" fillId="5" borderId="0" xfId="9" applyFont="1" applyFill="1" applyAlignment="1" applyProtection="1">
      <alignment vertical="center"/>
      <protection locked="0"/>
    </xf>
    <xf numFmtId="0" fontId="61" fillId="5" borderId="0" xfId="9" applyFont="1" applyFill="1" applyAlignment="1">
      <alignment vertical="center"/>
    </xf>
    <xf numFmtId="0" fontId="64" fillId="5" borderId="0" xfId="9" applyFont="1" applyFill="1" applyAlignment="1">
      <alignment vertical="center"/>
    </xf>
    <xf numFmtId="0" fontId="61" fillId="5" borderId="0" xfId="9" applyFont="1" applyFill="1" applyAlignment="1">
      <alignment horizontal="center" vertical="center"/>
    </xf>
    <xf numFmtId="0" fontId="12" fillId="0" borderId="0" xfId="13" applyFont="1" applyAlignment="1">
      <alignment vertical="center"/>
    </xf>
    <xf numFmtId="0" fontId="6" fillId="0" borderId="0" xfId="13" applyFont="1" applyAlignment="1">
      <alignment vertical="center"/>
    </xf>
    <xf numFmtId="0" fontId="6" fillId="0" borderId="0" xfId="13" applyFont="1" applyAlignment="1" applyProtection="1">
      <alignment vertical="center"/>
      <protection locked="0"/>
    </xf>
    <xf numFmtId="0" fontId="12" fillId="0" borderId="17" xfId="0" applyFont="1" applyBorder="1" applyAlignment="1">
      <alignment horizontal="center" vertical="center"/>
    </xf>
    <xf numFmtId="0" fontId="8" fillId="0" borderId="0" xfId="13" applyFont="1" applyAlignment="1">
      <alignment vertical="center"/>
    </xf>
    <xf numFmtId="0" fontId="22" fillId="0" borderId="0" xfId="0" applyFont="1" applyAlignment="1">
      <alignment vertical="center"/>
    </xf>
    <xf numFmtId="0" fontId="12" fillId="0" borderId="3" xfId="0" applyFont="1" applyBorder="1" applyAlignment="1">
      <alignment horizontal="center" vertical="center"/>
    </xf>
    <xf numFmtId="0" fontId="12" fillId="0" borderId="13" xfId="0" applyFont="1" applyBorder="1" applyAlignment="1">
      <alignment horizontal="center" vertical="center" wrapText="1" shrinkToFit="1"/>
    </xf>
    <xf numFmtId="0" fontId="0" fillId="0" borderId="0" xfId="0" applyAlignment="1">
      <alignment horizontal="right" vertical="center"/>
    </xf>
    <xf numFmtId="0" fontId="6" fillId="5" borderId="0" xfId="9" applyFont="1" applyFill="1" applyAlignment="1">
      <alignment vertical="center"/>
    </xf>
    <xf numFmtId="0" fontId="8" fillId="0" borderId="18" xfId="10" applyFont="1" applyBorder="1" applyAlignment="1">
      <alignment vertical="center"/>
    </xf>
    <xf numFmtId="49" fontId="11" fillId="0" borderId="5" xfId="10" applyNumberFormat="1" applyFont="1" applyBorder="1" applyAlignment="1">
      <alignment horizontal="center" vertical="center" wrapText="1"/>
    </xf>
    <xf numFmtId="49" fontId="11" fillId="0" borderId="19" xfId="10" applyNumberFormat="1" applyFont="1" applyBorder="1" applyAlignment="1">
      <alignment horizontal="center" vertical="center" wrapText="1"/>
    </xf>
    <xf numFmtId="3" fontId="8" fillId="0" borderId="19" xfId="10" applyNumberFormat="1" applyFont="1" applyBorder="1" applyAlignment="1">
      <alignment horizontal="center" vertical="center" wrapText="1"/>
    </xf>
    <xf numFmtId="3" fontId="8" fillId="0" borderId="20" xfId="10" applyNumberFormat="1" applyFont="1" applyBorder="1" applyAlignment="1">
      <alignment horizontal="center" vertical="center" wrapText="1"/>
    </xf>
    <xf numFmtId="0" fontId="8" fillId="0" borderId="21" xfId="10" applyFont="1" applyBorder="1" applyAlignment="1">
      <alignment vertical="center" wrapText="1"/>
    </xf>
    <xf numFmtId="3" fontId="8" fillId="0" borderId="22" xfId="10" applyNumberFormat="1" applyFont="1" applyBorder="1" applyAlignment="1">
      <alignment horizontal="center" vertical="center" wrapText="1"/>
    </xf>
    <xf numFmtId="3" fontId="8" fillId="0" borderId="23" xfId="10" applyNumberFormat="1" applyFont="1" applyBorder="1" applyAlignment="1">
      <alignment horizontal="center" vertical="center" wrapText="1"/>
    </xf>
    <xf numFmtId="0" fontId="6" fillId="0" borderId="24" xfId="10" applyFont="1" applyBorder="1" applyAlignment="1">
      <alignment vertical="center" wrapText="1"/>
    </xf>
    <xf numFmtId="49" fontId="6" fillId="0" borderId="17" xfId="10" applyNumberFormat="1" applyFont="1" applyBorder="1" applyAlignment="1">
      <alignment horizontal="center" vertical="center" wrapText="1"/>
    </xf>
    <xf numFmtId="49" fontId="6" fillId="0" borderId="13" xfId="10" applyNumberFormat="1" applyFont="1" applyBorder="1" applyAlignment="1">
      <alignment horizontal="center" vertical="center" wrapText="1"/>
    </xf>
    <xf numFmtId="0" fontId="6" fillId="0" borderId="24" xfId="10" applyFont="1" applyBorder="1" applyAlignment="1">
      <alignment horizontal="left" vertical="center" wrapText="1"/>
    </xf>
    <xf numFmtId="0" fontId="6" fillId="0" borderId="25" xfId="10" applyFont="1" applyBorder="1" applyAlignment="1">
      <alignment vertical="center" wrapText="1"/>
    </xf>
    <xf numFmtId="49" fontId="6" fillId="0" borderId="26" xfId="10" applyNumberFormat="1" applyFont="1" applyBorder="1" applyAlignment="1">
      <alignment horizontal="center" vertical="center" wrapText="1"/>
    </xf>
    <xf numFmtId="0" fontId="6" fillId="0" borderId="27" xfId="10" applyFont="1" applyBorder="1" applyAlignment="1">
      <alignment horizontal="left" vertical="center" wrapText="1"/>
    </xf>
    <xf numFmtId="49" fontId="6" fillId="0" borderId="28" xfId="10" applyNumberFormat="1" applyFont="1" applyBorder="1" applyAlignment="1">
      <alignment horizontal="center" vertical="center" wrapText="1"/>
    </xf>
    <xf numFmtId="49" fontId="6" fillId="0" borderId="22" xfId="10" applyNumberFormat="1" applyFont="1" applyBorder="1" applyAlignment="1">
      <alignment horizontal="center" vertical="center" wrapText="1"/>
    </xf>
    <xf numFmtId="49" fontId="6" fillId="5" borderId="17" xfId="10" applyNumberFormat="1" applyFont="1" applyFill="1" applyBorder="1" applyAlignment="1">
      <alignment horizontal="center" vertical="center" wrapText="1"/>
    </xf>
    <xf numFmtId="0" fontId="8" fillId="0" borderId="29" xfId="10" applyFont="1" applyBorder="1" applyAlignment="1">
      <alignment vertical="center" wrapText="1"/>
    </xf>
    <xf numFmtId="0" fontId="6" fillId="0" borderId="21" xfId="10" applyFont="1" applyBorder="1" applyAlignment="1">
      <alignment vertical="center" wrapText="1"/>
    </xf>
    <xf numFmtId="49" fontId="10" fillId="0" borderId="17" xfId="10" applyNumberFormat="1" applyFont="1" applyBorder="1" applyAlignment="1">
      <alignment horizontal="center" vertical="center"/>
    </xf>
    <xf numFmtId="49" fontId="6" fillId="0" borderId="30" xfId="10" applyNumberFormat="1" applyFont="1" applyBorder="1" applyAlignment="1">
      <alignment horizontal="center" vertical="center" wrapText="1"/>
    </xf>
    <xf numFmtId="49" fontId="6" fillId="0" borderId="16" xfId="10" applyNumberFormat="1" applyFont="1" applyBorder="1" applyAlignment="1">
      <alignment horizontal="center" vertical="center" wrapText="1"/>
    </xf>
    <xf numFmtId="0" fontId="6" fillId="0" borderId="0" xfId="10" applyFont="1" applyAlignment="1">
      <alignment vertical="center" wrapText="1"/>
    </xf>
    <xf numFmtId="49" fontId="6" fillId="0" borderId="0" xfId="10" applyNumberFormat="1" applyFont="1" applyAlignment="1">
      <alignment horizontal="center" vertical="center" wrapText="1"/>
    </xf>
    <xf numFmtId="3" fontId="6" fillId="0" borderId="0" xfId="10" applyNumberFormat="1" applyFont="1" applyAlignment="1">
      <alignment vertical="center"/>
    </xf>
    <xf numFmtId="0" fontId="9" fillId="0" borderId="0" xfId="10" applyFont="1" applyAlignment="1">
      <alignment vertical="center"/>
    </xf>
    <xf numFmtId="49" fontId="6" fillId="0" borderId="0" xfId="10" applyNumberFormat="1" applyFont="1" applyAlignment="1">
      <alignment vertical="center" wrapText="1"/>
    </xf>
    <xf numFmtId="49" fontId="6" fillId="0" borderId="0" xfId="10" applyNumberFormat="1" applyFont="1" applyAlignment="1">
      <alignment vertical="center"/>
    </xf>
    <xf numFmtId="0" fontId="8" fillId="0" borderId="18" xfId="10" applyFont="1" applyBorder="1" applyAlignment="1">
      <alignment horizontal="left" vertical="center"/>
    </xf>
    <xf numFmtId="49" fontId="8" fillId="0" borderId="5" xfId="10" applyNumberFormat="1" applyFont="1" applyBorder="1" applyAlignment="1">
      <alignment horizontal="center" vertical="center" wrapText="1"/>
    </xf>
    <xf numFmtId="49" fontId="8" fillId="0" borderId="19" xfId="10" applyNumberFormat="1" applyFont="1" applyBorder="1" applyAlignment="1">
      <alignment horizontal="center" vertical="center" wrapText="1"/>
    </xf>
    <xf numFmtId="0" fontId="8" fillId="0" borderId="0" xfId="10" applyFont="1" applyAlignment="1">
      <alignment vertical="center"/>
    </xf>
    <xf numFmtId="0" fontId="8" fillId="0" borderId="27" xfId="10" applyFont="1" applyBorder="1" applyAlignment="1">
      <alignment vertical="center" wrapText="1"/>
    </xf>
    <xf numFmtId="0" fontId="6" fillId="0" borderId="31" xfId="10" applyFont="1" applyBorder="1" applyAlignment="1">
      <alignment horizontal="center" vertical="center"/>
    </xf>
    <xf numFmtId="49" fontId="6" fillId="0" borderId="32" xfId="10" applyNumberFormat="1" applyFont="1" applyBorder="1" applyAlignment="1">
      <alignment horizontal="center" vertical="center"/>
    </xf>
    <xf numFmtId="0" fontId="6" fillId="0" borderId="17" xfId="10" applyFont="1" applyBorder="1" applyAlignment="1">
      <alignment horizontal="center" vertical="center"/>
    </xf>
    <xf numFmtId="49" fontId="6" fillId="0" borderId="13" xfId="10" applyNumberFormat="1" applyFont="1" applyBorder="1" applyAlignment="1">
      <alignment horizontal="center" vertical="center"/>
    </xf>
    <xf numFmtId="0" fontId="6" fillId="0" borderId="30" xfId="10" applyFont="1" applyBorder="1" applyAlignment="1">
      <alignment horizontal="center" vertical="center" wrapText="1"/>
    </xf>
    <xf numFmtId="0" fontId="6" fillId="0" borderId="33" xfId="10" applyFont="1" applyBorder="1" applyAlignment="1">
      <alignment horizontal="center" vertical="center"/>
    </xf>
    <xf numFmtId="0" fontId="6" fillId="0" borderId="3" xfId="10" applyFont="1" applyBorder="1" applyAlignment="1">
      <alignment horizontal="center" vertical="center"/>
    </xf>
    <xf numFmtId="0" fontId="6" fillId="0" borderId="34" xfId="10" applyFont="1" applyBorder="1" applyAlignment="1">
      <alignment horizontal="center" vertical="center" wrapText="1"/>
    </xf>
    <xf numFmtId="0" fontId="6" fillId="0" borderId="34" xfId="10" applyFont="1" applyBorder="1" applyAlignment="1">
      <alignment horizontal="center" vertical="center"/>
    </xf>
    <xf numFmtId="49" fontId="6" fillId="0" borderId="16" xfId="10" applyNumberFormat="1" applyFont="1" applyBorder="1" applyAlignment="1">
      <alignment horizontal="center" vertical="center"/>
    </xf>
    <xf numFmtId="0" fontId="8" fillId="0" borderId="24" xfId="10" applyFont="1" applyBorder="1" applyAlignment="1">
      <alignment vertical="center" wrapText="1"/>
    </xf>
    <xf numFmtId="0" fontId="6" fillId="0" borderId="35" xfId="10" applyFont="1" applyBorder="1" applyAlignment="1">
      <alignment horizontal="center" vertical="center"/>
    </xf>
    <xf numFmtId="49" fontId="6" fillId="0" borderId="1" xfId="10" applyNumberFormat="1" applyFont="1" applyBorder="1" applyAlignment="1">
      <alignment horizontal="center" vertical="center" wrapText="1"/>
    </xf>
    <xf numFmtId="0" fontId="8" fillId="0" borderId="25" xfId="10" applyFont="1" applyBorder="1" applyAlignment="1">
      <alignment vertical="center" wrapText="1"/>
    </xf>
    <xf numFmtId="0" fontId="8" fillId="0" borderId="0" xfId="10" applyFont="1" applyAlignment="1">
      <alignment vertical="center" wrapText="1"/>
    </xf>
    <xf numFmtId="0" fontId="6" fillId="0" borderId="0" xfId="10" applyFont="1" applyAlignment="1">
      <alignment horizontal="center" vertical="center"/>
    </xf>
    <xf numFmtId="49" fontId="6" fillId="0" borderId="36" xfId="10" applyNumberFormat="1" applyFont="1" applyBorder="1" applyAlignment="1">
      <alignment horizontal="center" vertical="center" wrapText="1"/>
    </xf>
    <xf numFmtId="0" fontId="6" fillId="0" borderId="27" xfId="10" applyFont="1" applyBorder="1" applyAlignment="1">
      <alignment vertical="center" wrapText="1"/>
    </xf>
    <xf numFmtId="0" fontId="31" fillId="0" borderId="0" xfId="9" applyFont="1" applyAlignment="1">
      <alignment vertical="center"/>
    </xf>
    <xf numFmtId="0" fontId="19" fillId="0" borderId="0" xfId="9" applyFont="1" applyAlignment="1">
      <alignment vertical="center"/>
    </xf>
    <xf numFmtId="0" fontId="6" fillId="0" borderId="0" xfId="9" applyFont="1"/>
    <xf numFmtId="0" fontId="6" fillId="0" borderId="0" xfId="9" applyFont="1" applyAlignment="1">
      <alignment horizontal="right" vertical="center"/>
    </xf>
    <xf numFmtId="0" fontId="8" fillId="0" borderId="29" xfId="9" applyFont="1" applyBorder="1" applyAlignment="1">
      <alignment horizontal="center" vertical="center" wrapText="1"/>
    </xf>
    <xf numFmtId="0" fontId="8" fillId="0" borderId="5" xfId="9" applyFont="1" applyBorder="1" applyAlignment="1">
      <alignment horizontal="center" vertical="center" wrapText="1"/>
    </xf>
    <xf numFmtId="0" fontId="8" fillId="0" borderId="20" xfId="9" applyFont="1" applyBorder="1" applyAlignment="1">
      <alignment horizontal="center" vertical="center" wrapText="1"/>
    </xf>
    <xf numFmtId="0" fontId="6" fillId="0" borderId="37" xfId="9" applyFont="1" applyBorder="1" applyAlignment="1">
      <alignment vertical="center"/>
    </xf>
    <xf numFmtId="3" fontId="6" fillId="0" borderId="0" xfId="9" applyNumberFormat="1" applyFont="1" applyAlignment="1" applyProtection="1">
      <alignment vertical="center"/>
      <protection locked="0"/>
    </xf>
    <xf numFmtId="3" fontId="6" fillId="0" borderId="0" xfId="9" applyNumberFormat="1" applyFont="1" applyAlignment="1">
      <alignment vertical="center"/>
    </xf>
    <xf numFmtId="0" fontId="6" fillId="0" borderId="34" xfId="9" applyFont="1" applyBorder="1" applyAlignment="1">
      <alignment vertical="center"/>
    </xf>
    <xf numFmtId="0" fontId="6" fillId="0" borderId="34" xfId="9" applyFont="1" applyBorder="1" applyAlignment="1" applyProtection="1">
      <alignment vertical="center"/>
      <protection locked="0"/>
    </xf>
    <xf numFmtId="0" fontId="8" fillId="0" borderId="29" xfId="9" applyFont="1" applyBorder="1" applyAlignment="1">
      <alignment vertical="center"/>
    </xf>
    <xf numFmtId="3" fontId="8" fillId="0" borderId="18" xfId="9" applyNumberFormat="1" applyFont="1" applyBorder="1" applyAlignment="1" applyProtection="1">
      <alignment horizontal="right" vertical="center" wrapText="1" indent="1"/>
      <protection locked="0"/>
    </xf>
    <xf numFmtId="3" fontId="8" fillId="0" borderId="20" xfId="9" applyNumberFormat="1" applyFont="1" applyBorder="1" applyAlignment="1" applyProtection="1">
      <alignment horizontal="right" vertical="center" wrapText="1" indent="1"/>
      <protection locked="0"/>
    </xf>
    <xf numFmtId="3" fontId="8" fillId="0" borderId="29" xfId="9" applyNumberFormat="1" applyFont="1" applyBorder="1" applyAlignment="1" applyProtection="1">
      <alignment horizontal="right" vertical="center" wrapText="1" indent="1"/>
      <protection hidden="1"/>
    </xf>
    <xf numFmtId="4" fontId="6" fillId="0" borderId="0" xfId="9" applyNumberFormat="1" applyFont="1" applyAlignment="1">
      <alignment vertical="center"/>
    </xf>
    <xf numFmtId="169" fontId="6" fillId="0" borderId="0" xfId="15" applyNumberFormat="1" applyFont="1" applyAlignment="1">
      <alignment vertical="center"/>
    </xf>
    <xf numFmtId="0" fontId="12" fillId="0" borderId="0" xfId="0" applyFont="1" applyAlignment="1">
      <alignment vertical="center"/>
    </xf>
    <xf numFmtId="0" fontId="13" fillId="0" borderId="0" xfId="0" applyFont="1" applyAlignment="1">
      <alignment vertical="center"/>
    </xf>
    <xf numFmtId="3" fontId="6" fillId="0" borderId="13" xfId="9" applyNumberFormat="1" applyFont="1" applyBorder="1" applyAlignment="1" applyProtection="1">
      <alignment horizontal="right" vertical="center"/>
      <protection locked="0"/>
    </xf>
    <xf numFmtId="0" fontId="6" fillId="0" borderId="3" xfId="0" applyFont="1" applyBorder="1" applyAlignment="1">
      <alignment horizontal="center" vertical="center"/>
    </xf>
    <xf numFmtId="0" fontId="26" fillId="0" borderId="0" xfId="0" applyFont="1" applyAlignment="1">
      <alignment vertical="center"/>
    </xf>
    <xf numFmtId="0" fontId="12" fillId="0" borderId="38" xfId="0" applyFont="1" applyBorder="1" applyAlignment="1">
      <alignment horizontal="center" vertical="center" wrapText="1" shrinkToFit="1"/>
    </xf>
    <xf numFmtId="0" fontId="12" fillId="0" borderId="39" xfId="0" applyFont="1" applyBorder="1" applyAlignment="1">
      <alignment horizontal="center" vertical="center" wrapText="1" shrinkToFit="1"/>
    </xf>
    <xf numFmtId="0" fontId="12" fillId="0" borderId="40" xfId="0" applyFont="1" applyBorder="1" applyAlignment="1">
      <alignment horizontal="center" vertical="center" wrapText="1" shrinkToFit="1"/>
    </xf>
    <xf numFmtId="3" fontId="13" fillId="0" borderId="0" xfId="0" applyNumberFormat="1" applyFont="1" applyAlignment="1">
      <alignment vertical="center"/>
    </xf>
    <xf numFmtId="0" fontId="12" fillId="2" borderId="3" xfId="0" applyFont="1" applyFill="1" applyBorder="1" applyAlignment="1">
      <alignment horizontal="center" vertical="center"/>
    </xf>
    <xf numFmtId="0" fontId="12" fillId="0" borderId="15" xfId="0" applyFont="1" applyBorder="1" applyAlignment="1">
      <alignment horizontal="left" vertical="center"/>
    </xf>
    <xf numFmtId="0" fontId="12" fillId="0" borderId="15" xfId="0" applyFont="1" applyBorder="1" applyAlignment="1">
      <alignment vertical="center"/>
    </xf>
    <xf numFmtId="0" fontId="23" fillId="0" borderId="15" xfId="0" applyFont="1" applyBorder="1" applyAlignment="1">
      <alignment vertical="center"/>
    </xf>
    <xf numFmtId="0" fontId="25" fillId="0" borderId="0" xfId="0" applyFont="1" applyAlignment="1">
      <alignment vertical="center"/>
    </xf>
    <xf numFmtId="169" fontId="57" fillId="0" borderId="0" xfId="15" applyNumberFormat="1" applyFont="1"/>
    <xf numFmtId="0" fontId="61" fillId="5" borderId="0" xfId="9" applyFont="1" applyFill="1" applyAlignment="1" applyProtection="1">
      <alignment vertical="center"/>
      <protection locked="0"/>
    </xf>
    <xf numFmtId="0" fontId="61" fillId="5" borderId="0" xfId="9" applyFont="1" applyFill="1" applyAlignment="1" applyProtection="1">
      <alignment horizontal="center" vertical="center"/>
      <protection locked="0"/>
    </xf>
    <xf numFmtId="0" fontId="7" fillId="0" borderId="0" xfId="9" applyFont="1" applyAlignment="1">
      <alignment vertical="center"/>
    </xf>
    <xf numFmtId="0" fontId="18" fillId="0" borderId="0" xfId="9" applyFont="1" applyAlignment="1">
      <alignment horizontal="right" vertical="center"/>
    </xf>
    <xf numFmtId="0" fontId="6" fillId="0" borderId="22" xfId="9" applyFont="1" applyBorder="1" applyAlignment="1">
      <alignment horizontal="center" vertical="center" wrapText="1"/>
    </xf>
    <xf numFmtId="0" fontId="6" fillId="0" borderId="3" xfId="9" applyFont="1" applyBorder="1" applyAlignment="1" applyProtection="1">
      <alignment horizontal="center" vertical="center"/>
      <protection locked="0"/>
    </xf>
    <xf numFmtId="0" fontId="6" fillId="0" borderId="14" xfId="9" applyFont="1" applyBorder="1" applyAlignment="1">
      <alignment vertical="center" wrapText="1"/>
    </xf>
    <xf numFmtId="0" fontId="6" fillId="0" borderId="13" xfId="9" applyFont="1" applyBorder="1" applyAlignment="1">
      <alignment horizontal="left" vertical="center" wrapText="1"/>
    </xf>
    <xf numFmtId="0" fontId="6" fillId="0" borderId="13" xfId="9" applyFont="1" applyBorder="1" applyAlignment="1">
      <alignment vertical="center"/>
    </xf>
    <xf numFmtId="0" fontId="6" fillId="0" borderId="17" xfId="9" applyFont="1" applyBorder="1" applyAlignment="1">
      <alignment horizontal="justify" vertical="center" wrapText="1"/>
    </xf>
    <xf numFmtId="0" fontId="4" fillId="0" borderId="0" xfId="9"/>
    <xf numFmtId="0" fontId="6" fillId="0" borderId="0" xfId="9" applyFont="1" applyAlignment="1">
      <alignment horizontal="justify" vertical="center" wrapText="1"/>
    </xf>
    <xf numFmtId="0" fontId="6" fillId="0" borderId="10" xfId="9" applyFont="1" applyBorder="1" applyAlignment="1">
      <alignment horizontal="center" vertical="center" wrapText="1"/>
    </xf>
    <xf numFmtId="0" fontId="6" fillId="0" borderId="12" xfId="9" applyFont="1" applyBorder="1" applyAlignment="1">
      <alignment horizontal="center" vertical="center" wrapText="1"/>
    </xf>
    <xf numFmtId="3" fontId="6" fillId="0" borderId="3" xfId="9" applyNumberFormat="1" applyFont="1" applyBorder="1" applyAlignment="1">
      <alignment horizontal="center" vertical="center"/>
    </xf>
    <xf numFmtId="3" fontId="6" fillId="0" borderId="13" xfId="9" applyNumberFormat="1" applyFont="1" applyBorder="1" applyAlignment="1" applyProtection="1">
      <alignment vertical="center"/>
      <protection locked="0"/>
    </xf>
    <xf numFmtId="3" fontId="6" fillId="0" borderId="33" xfId="9" applyNumberFormat="1" applyFont="1" applyBorder="1" applyAlignment="1">
      <alignment vertical="center"/>
    </xf>
    <xf numFmtId="3" fontId="6" fillId="0" borderId="33" xfId="9" applyNumberFormat="1" applyFont="1" applyBorder="1" applyAlignment="1">
      <alignment vertical="center" wrapText="1"/>
    </xf>
    <xf numFmtId="3" fontId="6" fillId="0" borderId="14" xfId="9" applyNumberFormat="1" applyFont="1" applyBorder="1" applyAlignment="1">
      <alignment vertical="center" wrapText="1"/>
    </xf>
    <xf numFmtId="3" fontId="6" fillId="0" borderId="13" xfId="9" applyNumberFormat="1" applyFont="1" applyBorder="1" applyAlignment="1">
      <alignment vertical="center" wrapText="1"/>
    </xf>
    <xf numFmtId="3" fontId="6" fillId="0" borderId="40" xfId="9" applyNumberFormat="1" applyFont="1" applyBorder="1" applyAlignment="1">
      <alignment vertical="center" wrapText="1"/>
    </xf>
    <xf numFmtId="3" fontId="6" fillId="0" borderId="40" xfId="9" applyNumberFormat="1" applyFont="1" applyBorder="1" applyAlignment="1" applyProtection="1">
      <alignment vertical="center"/>
      <protection locked="0"/>
    </xf>
    <xf numFmtId="3" fontId="8" fillId="0" borderId="41" xfId="9" applyNumberFormat="1" applyFont="1" applyBorder="1" applyAlignment="1">
      <alignment vertical="center"/>
    </xf>
    <xf numFmtId="0" fontId="38" fillId="0" borderId="0" xfId="9" applyFont="1" applyAlignment="1">
      <alignment vertical="center"/>
    </xf>
    <xf numFmtId="3" fontId="6" fillId="0" borderId="0" xfId="9" applyNumberFormat="1" applyFont="1" applyAlignment="1" applyProtection="1">
      <alignment vertical="center"/>
      <protection hidden="1"/>
    </xf>
    <xf numFmtId="0" fontId="6" fillId="0" borderId="0" xfId="9" applyFont="1" applyAlignment="1">
      <alignment horizontal="left" vertical="center"/>
    </xf>
    <xf numFmtId="0" fontId="8" fillId="0" borderId="0" xfId="9" applyFont="1" applyAlignment="1">
      <alignment horizontal="left" vertical="center"/>
    </xf>
    <xf numFmtId="3" fontId="6" fillId="0" borderId="0" xfId="9" applyNumberFormat="1" applyFont="1" applyAlignment="1" applyProtection="1">
      <alignment horizontal="left" vertical="center"/>
      <protection hidden="1"/>
    </xf>
    <xf numFmtId="0" fontId="6" fillId="0" borderId="0" xfId="9" applyFont="1" applyAlignment="1">
      <alignment horizontal="left" vertical="center" wrapText="1"/>
    </xf>
    <xf numFmtId="0" fontId="27" fillId="0" borderId="0" xfId="9" applyFont="1" applyAlignment="1">
      <alignment horizontal="left" vertical="center" wrapText="1"/>
    </xf>
    <xf numFmtId="0" fontId="19" fillId="0" borderId="0" xfId="9" applyFont="1" applyAlignment="1">
      <alignment horizontal="left" vertical="center"/>
    </xf>
    <xf numFmtId="0" fontId="27" fillId="0" borderId="0" xfId="9" applyFont="1" applyAlignment="1">
      <alignment vertical="center"/>
    </xf>
    <xf numFmtId="0" fontId="0" fillId="0" borderId="0" xfId="0" applyAlignment="1">
      <alignment vertical="center"/>
    </xf>
    <xf numFmtId="0" fontId="12" fillId="0" borderId="0" xfId="0" applyFont="1" applyAlignment="1">
      <alignment horizontal="right" vertical="center"/>
    </xf>
    <xf numFmtId="0" fontId="6" fillId="0" borderId="17" xfId="9" applyFont="1" applyBorder="1" applyAlignment="1">
      <alignment horizontal="center" vertical="center" wrapText="1"/>
    </xf>
    <xf numFmtId="0" fontId="6" fillId="0" borderId="30" xfId="9" applyFont="1" applyBorder="1" applyAlignment="1">
      <alignment horizontal="center" vertical="center" wrapText="1"/>
    </xf>
    <xf numFmtId="0" fontId="6" fillId="0" borderId="26" xfId="9" applyFont="1" applyBorder="1" applyAlignment="1">
      <alignment horizontal="center" vertical="center" wrapText="1"/>
    </xf>
    <xf numFmtId="0" fontId="6" fillId="0" borderId="16" xfId="9" applyFont="1" applyBorder="1" applyAlignment="1">
      <alignment horizontal="center" vertical="center" wrapText="1"/>
    </xf>
    <xf numFmtId="0" fontId="6" fillId="0" borderId="42" xfId="9" applyFont="1" applyBorder="1" applyAlignment="1">
      <alignment horizontal="center" vertical="center" wrapText="1"/>
    </xf>
    <xf numFmtId="0" fontId="0" fillId="0" borderId="0" xfId="0" applyAlignment="1">
      <alignment horizontal="center" vertical="center"/>
    </xf>
    <xf numFmtId="0" fontId="6" fillId="0" borderId="43" xfId="9" applyFont="1" applyBorder="1" applyAlignment="1">
      <alignment horizontal="center" vertical="center" wrapText="1"/>
    </xf>
    <xf numFmtId="0" fontId="6" fillId="0" borderId="14" xfId="9" applyFont="1" applyBorder="1" applyAlignment="1">
      <alignment horizontal="center" vertical="center" wrapText="1"/>
    </xf>
    <xf numFmtId="0" fontId="6" fillId="0" borderId="44" xfId="9" applyFont="1" applyBorder="1" applyAlignment="1">
      <alignment horizontal="center" vertical="center" wrapText="1"/>
    </xf>
    <xf numFmtId="0" fontId="8" fillId="0" borderId="18" xfId="9" applyFont="1" applyBorder="1" applyAlignment="1">
      <alignment horizontal="center" vertical="center" wrapText="1"/>
    </xf>
    <xf numFmtId="166" fontId="21" fillId="5" borderId="5" xfId="9" applyNumberFormat="1" applyFont="1" applyFill="1" applyBorder="1" applyAlignment="1">
      <alignment horizontal="right" vertical="center" wrapText="1"/>
    </xf>
    <xf numFmtId="166" fontId="21" fillId="5" borderId="6" xfId="9" applyNumberFormat="1" applyFont="1" applyFill="1" applyBorder="1" applyAlignment="1">
      <alignment horizontal="right" vertical="center" wrapText="1"/>
    </xf>
    <xf numFmtId="166" fontId="21" fillId="5" borderId="19" xfId="9" applyNumberFormat="1" applyFont="1" applyFill="1" applyBorder="1" applyAlignment="1">
      <alignment horizontal="right" vertical="center" wrapText="1"/>
    </xf>
    <xf numFmtId="166" fontId="21" fillId="5" borderId="20" xfId="9" applyNumberFormat="1" applyFont="1" applyFill="1" applyBorder="1" applyAlignment="1">
      <alignment horizontal="right" vertical="center" wrapText="1"/>
    </xf>
    <xf numFmtId="166" fontId="20" fillId="5" borderId="5" xfId="0" applyNumberFormat="1" applyFont="1" applyFill="1" applyBorder="1" applyAlignment="1">
      <alignment horizontal="right" vertical="center"/>
    </xf>
    <xf numFmtId="166" fontId="20" fillId="5" borderId="20" xfId="0" applyNumberFormat="1" applyFont="1" applyFill="1" applyBorder="1" applyAlignment="1">
      <alignment horizontal="right" vertical="center"/>
    </xf>
    <xf numFmtId="166" fontId="20" fillId="5" borderId="18" xfId="0" applyNumberFormat="1" applyFont="1" applyFill="1" applyBorder="1" applyAlignment="1">
      <alignment horizontal="right" vertical="center"/>
    </xf>
    <xf numFmtId="166" fontId="20" fillId="5" borderId="45" xfId="0" applyNumberFormat="1" applyFont="1" applyFill="1" applyBorder="1" applyAlignment="1">
      <alignment horizontal="right" vertical="center"/>
    </xf>
    <xf numFmtId="0" fontId="20" fillId="0" borderId="0" xfId="0" applyFont="1" applyAlignment="1">
      <alignment vertical="center"/>
    </xf>
    <xf numFmtId="0" fontId="8" fillId="0" borderId="0" xfId="9" applyFont="1" applyAlignment="1">
      <alignment vertical="center"/>
    </xf>
    <xf numFmtId="166" fontId="0" fillId="0" borderId="0" xfId="0" applyNumberFormat="1" applyAlignment="1">
      <alignment vertical="center"/>
    </xf>
    <xf numFmtId="0" fontId="12" fillId="0" borderId="0" xfId="9" applyFont="1" applyAlignment="1">
      <alignment horizontal="left" vertical="center"/>
    </xf>
    <xf numFmtId="0" fontId="12" fillId="0" borderId="0" xfId="9" applyFont="1" applyAlignment="1">
      <alignment horizontal="right" vertical="center"/>
    </xf>
    <xf numFmtId="0" fontId="21" fillId="0" borderId="0" xfId="9" applyFont="1" applyAlignment="1">
      <alignment vertical="center"/>
    </xf>
    <xf numFmtId="0" fontId="6" fillId="0" borderId="3"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5" xfId="9" applyFont="1" applyBorder="1" applyAlignment="1">
      <alignment horizontal="center" vertical="center" wrapText="1"/>
    </xf>
    <xf numFmtId="0" fontId="6" fillId="0" borderId="16" xfId="9" applyFont="1" applyBorder="1" applyAlignment="1">
      <alignment horizontal="center" vertical="center"/>
    </xf>
    <xf numFmtId="0" fontId="6" fillId="0" borderId="21" xfId="9" applyFont="1" applyBorder="1" applyAlignment="1">
      <alignment horizontal="center" vertical="center" wrapText="1"/>
    </xf>
    <xf numFmtId="0" fontId="6" fillId="0" borderId="43" xfId="9" applyFont="1" applyBorder="1" applyAlignment="1">
      <alignment vertical="center"/>
    </xf>
    <xf numFmtId="166" fontId="14" fillId="5" borderId="46" xfId="9" applyNumberFormat="1" applyFont="1" applyFill="1" applyBorder="1" applyAlignment="1" applyProtection="1">
      <alignment horizontal="right" vertical="center" wrapText="1"/>
      <protection locked="0"/>
    </xf>
    <xf numFmtId="0" fontId="6" fillId="0" borderId="24" xfId="9" applyFont="1" applyBorder="1" applyAlignment="1">
      <alignment horizontal="center" vertical="center" wrapText="1"/>
    </xf>
    <xf numFmtId="0" fontId="6" fillId="0" borderId="14" xfId="9" applyFont="1" applyBorder="1" applyAlignment="1">
      <alignment horizontal="left" vertical="center"/>
    </xf>
    <xf numFmtId="166" fontId="14" fillId="5" borderId="15" xfId="9" applyNumberFormat="1" applyFont="1" applyFill="1" applyBorder="1" applyAlignment="1" applyProtection="1">
      <alignment horizontal="right" vertical="center" wrapText="1"/>
      <protection locked="0"/>
    </xf>
    <xf numFmtId="0" fontId="65" fillId="0" borderId="0" xfId="0" applyFont="1" applyAlignment="1">
      <alignment vertical="center"/>
    </xf>
    <xf numFmtId="166" fontId="65" fillId="0" borderId="0" xfId="0" applyNumberFormat="1" applyFont="1" applyAlignment="1">
      <alignment vertical="center"/>
    </xf>
    <xf numFmtId="0" fontId="6" fillId="0" borderId="25" xfId="9" applyFont="1" applyBorder="1" applyAlignment="1">
      <alignment horizontal="center" vertical="center" wrapText="1"/>
    </xf>
    <xf numFmtId="0" fontId="8" fillId="0" borderId="47" xfId="9" applyFont="1" applyBorder="1" applyAlignment="1">
      <alignment horizontal="center" vertical="center" wrapText="1"/>
    </xf>
    <xf numFmtId="166" fontId="21" fillId="5" borderId="9" xfId="9" applyNumberFormat="1" applyFont="1" applyFill="1" applyBorder="1" applyAlignment="1">
      <alignment horizontal="right" vertical="center" wrapText="1"/>
    </xf>
    <xf numFmtId="166" fontId="21" fillId="5" borderId="10" xfId="9" applyNumberFormat="1" applyFont="1" applyFill="1" applyBorder="1" applyAlignment="1">
      <alignment horizontal="right" vertical="center" wrapText="1"/>
    </xf>
    <xf numFmtId="166" fontId="21" fillId="5" borderId="48" xfId="9" applyNumberFormat="1" applyFont="1" applyFill="1" applyBorder="1" applyAlignment="1">
      <alignment horizontal="right" vertical="center" wrapText="1"/>
    </xf>
    <xf numFmtId="166" fontId="58" fillId="5" borderId="20" xfId="0" applyNumberFormat="1" applyFont="1" applyFill="1" applyBorder="1"/>
    <xf numFmtId="0" fontId="40" fillId="0" borderId="0" xfId="0" applyFont="1" applyAlignment="1">
      <alignment vertical="center"/>
    </xf>
    <xf numFmtId="166" fontId="40" fillId="0" borderId="0" xfId="0" applyNumberFormat="1" applyFont="1" applyAlignment="1">
      <alignment vertical="center"/>
    </xf>
    <xf numFmtId="166" fontId="21" fillId="6" borderId="5" xfId="9" applyNumberFormat="1" applyFont="1" applyFill="1" applyBorder="1" applyAlignment="1">
      <alignment horizontal="right" vertical="center" wrapText="1"/>
    </xf>
    <xf numFmtId="166" fontId="20" fillId="6" borderId="20" xfId="0" applyNumberFormat="1" applyFont="1" applyFill="1" applyBorder="1" applyAlignment="1">
      <alignment horizontal="right" vertical="center"/>
    </xf>
    <xf numFmtId="0" fontId="6" fillId="0" borderId="0" xfId="9" applyFont="1" applyAlignment="1" applyProtection="1">
      <alignment horizontal="center" vertical="center" wrapText="1"/>
      <protection locked="0"/>
    </xf>
    <xf numFmtId="0" fontId="10" fillId="0" borderId="0" xfId="9" applyFont="1" applyAlignment="1" applyProtection="1">
      <alignment horizontal="center" vertical="center" wrapText="1"/>
      <protection locked="0"/>
    </xf>
    <xf numFmtId="0" fontId="10" fillId="0" borderId="0" xfId="9" applyFont="1" applyAlignment="1">
      <alignment vertical="center"/>
    </xf>
    <xf numFmtId="0" fontId="10" fillId="0" borderId="0" xfId="9" applyFont="1" applyAlignment="1">
      <alignment horizontal="center" vertical="center"/>
    </xf>
    <xf numFmtId="171" fontId="6" fillId="0" borderId="0" xfId="9" applyNumberFormat="1" applyFont="1" applyAlignment="1">
      <alignment horizontal="right" vertical="center"/>
    </xf>
    <xf numFmtId="0" fontId="9" fillId="0" borderId="0" xfId="9" applyFont="1" applyAlignment="1">
      <alignment vertical="center"/>
    </xf>
    <xf numFmtId="0" fontId="8" fillId="0" borderId="14" xfId="9" applyFont="1" applyBorder="1" applyAlignment="1">
      <alignment horizontal="left" vertical="center"/>
    </xf>
    <xf numFmtId="166" fontId="21" fillId="5" borderId="15" xfId="9" applyNumberFormat="1" applyFont="1" applyFill="1" applyBorder="1" applyAlignment="1" applyProtection="1">
      <alignment horizontal="right" vertical="center" wrapText="1"/>
      <protection locked="0"/>
    </xf>
    <xf numFmtId="0" fontId="6" fillId="0" borderId="4" xfId="9" applyFont="1" applyBorder="1" applyAlignment="1" applyProtection="1">
      <alignment vertical="center"/>
      <protection locked="0"/>
    </xf>
    <xf numFmtId="3" fontId="6" fillId="0" borderId="32" xfId="9" applyNumberFormat="1" applyFont="1" applyBorder="1" applyAlignment="1" applyProtection="1">
      <alignment horizontal="right" vertical="center" wrapText="1" indent="1"/>
      <protection locked="0"/>
    </xf>
    <xf numFmtId="3" fontId="6" fillId="0" borderId="43" xfId="9" applyNumberFormat="1" applyFont="1" applyBorder="1" applyAlignment="1" applyProtection="1">
      <alignment horizontal="right" vertical="center" wrapText="1" indent="1"/>
      <protection locked="0"/>
    </xf>
    <xf numFmtId="3" fontId="6" fillId="0" borderId="46" xfId="9" applyNumberFormat="1" applyFont="1" applyBorder="1" applyAlignment="1" applyProtection="1">
      <alignment horizontal="right" vertical="center" wrapText="1" indent="1"/>
      <protection locked="0"/>
    </xf>
    <xf numFmtId="3" fontId="6" fillId="0" borderId="13" xfId="9" applyNumberFormat="1" applyFont="1" applyBorder="1" applyAlignment="1" applyProtection="1">
      <alignment horizontal="right" vertical="center" wrapText="1" indent="1"/>
      <protection locked="0"/>
    </xf>
    <xf numFmtId="3" fontId="6" fillId="0" borderId="14" xfId="9" applyNumberFormat="1" applyFont="1" applyBorder="1" applyAlignment="1" applyProtection="1">
      <alignment horizontal="right" vertical="center" wrapText="1" indent="1"/>
      <protection locked="0"/>
    </xf>
    <xf numFmtId="0" fontId="6" fillId="0" borderId="18" xfId="9" applyFont="1" applyBorder="1" applyAlignment="1">
      <alignment horizontal="center" vertical="center"/>
    </xf>
    <xf numFmtId="0" fontId="8" fillId="0" borderId="20" xfId="9" applyFont="1" applyBorder="1" applyAlignment="1" applyProtection="1">
      <alignment vertical="center"/>
      <protection locked="0"/>
    </xf>
    <xf numFmtId="3" fontId="8" fillId="0" borderId="19" xfId="9" applyNumberFormat="1" applyFont="1" applyBorder="1" applyAlignment="1" applyProtection="1">
      <alignment horizontal="right" vertical="center" wrapText="1" indent="1"/>
      <protection hidden="1"/>
    </xf>
    <xf numFmtId="0" fontId="6" fillId="0" borderId="2" xfId="9" applyFont="1" applyBorder="1" applyAlignment="1" applyProtection="1">
      <alignment vertical="center"/>
      <protection locked="0"/>
    </xf>
    <xf numFmtId="173" fontId="6" fillId="0" borderId="0" xfId="9" applyNumberFormat="1" applyFont="1" applyAlignment="1" applyProtection="1">
      <alignment vertical="center"/>
      <protection locked="0"/>
    </xf>
    <xf numFmtId="168" fontId="6" fillId="0" borderId="0" xfId="9" applyNumberFormat="1" applyFont="1" applyAlignment="1" applyProtection="1">
      <alignment vertical="center"/>
      <protection locked="0"/>
    </xf>
    <xf numFmtId="173" fontId="5" fillId="0" borderId="0" xfId="9" applyNumberFormat="1" applyFont="1" applyAlignment="1">
      <alignment vertical="center"/>
    </xf>
    <xf numFmtId="0" fontId="30" fillId="0" borderId="0" xfId="9" applyFont="1" applyAlignment="1" applyProtection="1">
      <alignment vertical="center"/>
      <protection locked="0"/>
    </xf>
    <xf numFmtId="170" fontId="6" fillId="0" borderId="0" xfId="9" applyNumberFormat="1" applyFont="1" applyAlignment="1">
      <alignment vertical="center"/>
    </xf>
    <xf numFmtId="4" fontId="6" fillId="0" borderId="0" xfId="9" applyNumberFormat="1" applyFont="1" applyAlignment="1" applyProtection="1">
      <alignment vertical="center"/>
      <protection locked="0"/>
    </xf>
    <xf numFmtId="4" fontId="6" fillId="0" borderId="0" xfId="9" applyNumberFormat="1" applyFont="1" applyAlignment="1" applyProtection="1">
      <alignment horizontal="center" vertical="center"/>
      <protection locked="0"/>
    </xf>
    <xf numFmtId="0" fontId="6" fillId="2" borderId="49" xfId="9" applyFont="1" applyFill="1" applyBorder="1" applyAlignment="1">
      <alignment horizontal="center" vertical="center"/>
    </xf>
    <xf numFmtId="0" fontId="6" fillId="0" borderId="50" xfId="9" applyFont="1" applyBorder="1" applyAlignment="1">
      <alignment horizontal="center" vertical="center"/>
    </xf>
    <xf numFmtId="0" fontId="6" fillId="2" borderId="51" xfId="12" applyFont="1" applyFill="1" applyBorder="1" applyAlignment="1">
      <alignment horizontal="left" vertical="center"/>
    </xf>
    <xf numFmtId="0" fontId="6" fillId="0" borderId="52" xfId="9" applyFont="1" applyBorder="1" applyAlignment="1">
      <alignment vertical="center"/>
    </xf>
    <xf numFmtId="0" fontId="6" fillId="2" borderId="52" xfId="9" applyFont="1" applyFill="1" applyBorder="1" applyAlignment="1">
      <alignment vertical="center"/>
    </xf>
    <xf numFmtId="0" fontId="6" fillId="0" borderId="53" xfId="9" applyFont="1" applyBorder="1" applyAlignment="1">
      <alignment horizontal="center" vertical="center"/>
    </xf>
    <xf numFmtId="0" fontId="8" fillId="2" borderId="54" xfId="12" applyFont="1" applyFill="1" applyBorder="1" applyAlignment="1">
      <alignment horizontal="left" vertical="center"/>
    </xf>
    <xf numFmtId="0" fontId="6" fillId="0" borderId="55" xfId="9" applyFont="1" applyBorder="1" applyAlignment="1">
      <alignment vertical="center"/>
    </xf>
    <xf numFmtId="0" fontId="6" fillId="2" borderId="55" xfId="9" applyFont="1" applyFill="1" applyBorder="1" applyAlignment="1">
      <alignment vertical="center"/>
    </xf>
    <xf numFmtId="0" fontId="6" fillId="0" borderId="56" xfId="9" applyFont="1" applyBorder="1" applyAlignment="1">
      <alignment horizontal="center" vertical="center"/>
    </xf>
    <xf numFmtId="0" fontId="8" fillId="2" borderId="57" xfId="12" applyFont="1" applyFill="1" applyBorder="1" applyAlignment="1">
      <alignment horizontal="left" vertical="center"/>
    </xf>
    <xf numFmtId="0" fontId="6" fillId="0" borderId="58" xfId="9" applyFont="1" applyBorder="1" applyAlignment="1">
      <alignment vertical="center"/>
    </xf>
    <xf numFmtId="0" fontId="6" fillId="2" borderId="58" xfId="9" applyFont="1" applyFill="1" applyBorder="1" applyAlignment="1">
      <alignment vertical="center"/>
    </xf>
    <xf numFmtId="4" fontId="38" fillId="0" borderId="0" xfId="9" applyNumberFormat="1" applyFont="1" applyAlignment="1">
      <alignment vertical="center"/>
    </xf>
    <xf numFmtId="3" fontId="38" fillId="0" borderId="0" xfId="9" applyNumberFormat="1" applyFont="1" applyAlignment="1">
      <alignment vertical="center"/>
    </xf>
    <xf numFmtId="4" fontId="9" fillId="0" borderId="0" xfId="9" applyNumberFormat="1" applyFont="1" applyAlignment="1">
      <alignment vertical="center"/>
    </xf>
    <xf numFmtId="0" fontId="6" fillId="0" borderId="22" xfId="9" applyFont="1" applyBorder="1" applyAlignment="1">
      <alignment vertical="center"/>
    </xf>
    <xf numFmtId="3" fontId="6" fillId="0" borderId="23" xfId="9" applyNumberFormat="1" applyFont="1" applyBorder="1" applyAlignment="1" applyProtection="1">
      <alignment vertical="center"/>
      <protection locked="0"/>
    </xf>
    <xf numFmtId="3" fontId="6" fillId="0" borderId="15" xfId="9" applyNumberFormat="1" applyFont="1" applyBorder="1" applyAlignment="1" applyProtection="1">
      <alignment vertical="center"/>
      <protection locked="0"/>
    </xf>
    <xf numFmtId="0" fontId="6" fillId="0" borderId="40" xfId="9" applyFont="1" applyBorder="1" applyAlignment="1">
      <alignment vertical="center"/>
    </xf>
    <xf numFmtId="3" fontId="6" fillId="0" borderId="59" xfId="9" applyNumberFormat="1" applyFont="1" applyBorder="1" applyAlignment="1" applyProtection="1">
      <alignment vertical="center"/>
      <protection locked="0"/>
    </xf>
    <xf numFmtId="0" fontId="31" fillId="0" borderId="0" xfId="9" applyFont="1"/>
    <xf numFmtId="0" fontId="6" fillId="0" borderId="60" xfId="9" applyFont="1" applyBorder="1" applyAlignment="1">
      <alignment horizontal="center" vertical="center"/>
    </xf>
    <xf numFmtId="0" fontId="6" fillId="0" borderId="27" xfId="9" applyFont="1" applyBorder="1" applyAlignment="1">
      <alignment vertical="center"/>
    </xf>
    <xf numFmtId="3" fontId="6" fillId="0" borderId="61" xfId="9" applyNumberFormat="1" applyFont="1" applyBorder="1" applyAlignment="1" applyProtection="1">
      <alignment vertical="center"/>
      <protection locked="0"/>
    </xf>
    <xf numFmtId="0" fontId="6" fillId="0" borderId="24" xfId="9" applyFont="1" applyBorder="1" applyAlignment="1">
      <alignment vertical="center"/>
    </xf>
    <xf numFmtId="3" fontId="6" fillId="0" borderId="4" xfId="9" applyNumberFormat="1" applyFont="1" applyBorder="1" applyAlignment="1" applyProtection="1">
      <alignment horizontal="right" vertical="center"/>
      <protection locked="0"/>
    </xf>
    <xf numFmtId="3" fontId="6" fillId="0" borderId="4" xfId="9" applyNumberFormat="1" applyFont="1" applyBorder="1" applyAlignment="1" applyProtection="1">
      <alignment horizontal="right"/>
      <protection locked="0"/>
    </xf>
    <xf numFmtId="0" fontId="8" fillId="0" borderId="24" xfId="9" applyFont="1" applyBorder="1"/>
    <xf numFmtId="0" fontId="6" fillId="0" borderId="62" xfId="9" applyFont="1" applyBorder="1" applyAlignment="1">
      <alignment vertical="center"/>
    </xf>
    <xf numFmtId="3" fontId="6" fillId="0" borderId="63" xfId="9" applyNumberFormat="1" applyFont="1" applyBorder="1" applyAlignment="1" applyProtection="1">
      <alignment horizontal="right" vertical="center"/>
      <protection locked="0"/>
    </xf>
    <xf numFmtId="0" fontId="8" fillId="0" borderId="0" xfId="9" applyFont="1"/>
    <xf numFmtId="0" fontId="6" fillId="0" borderId="21" xfId="9" applyFont="1" applyBorder="1" applyAlignment="1">
      <alignment horizontal="justify" vertical="top" wrapText="1"/>
    </xf>
    <xf numFmtId="3" fontId="6" fillId="0" borderId="2" xfId="9" applyNumberFormat="1" applyFont="1" applyBorder="1" applyAlignment="1" applyProtection="1">
      <alignment horizontal="right" vertical="top" wrapText="1"/>
      <protection locked="0"/>
    </xf>
    <xf numFmtId="0" fontId="6" fillId="0" borderId="24" xfId="9" applyFont="1" applyBorder="1" applyAlignment="1">
      <alignment horizontal="justify" vertical="top" wrapText="1"/>
    </xf>
    <xf numFmtId="3" fontId="6" fillId="0" borderId="4" xfId="9" applyNumberFormat="1" applyFont="1" applyBorder="1" applyAlignment="1" applyProtection="1">
      <alignment horizontal="right" vertical="top" wrapText="1"/>
      <protection locked="0"/>
    </xf>
    <xf numFmtId="0" fontId="8" fillId="0" borderId="24" xfId="9" applyFont="1" applyBorder="1" applyAlignment="1">
      <alignment horizontal="justify" vertical="top" wrapText="1"/>
    </xf>
    <xf numFmtId="0" fontId="8" fillId="0" borderId="62" xfId="9" applyFont="1" applyBorder="1" applyAlignment="1">
      <alignment horizontal="justify" vertical="top" wrapText="1"/>
    </xf>
    <xf numFmtId="3" fontId="8" fillId="0" borderId="63" xfId="9" applyNumberFormat="1" applyFont="1" applyBorder="1" applyAlignment="1">
      <alignment horizontal="right" vertical="top" wrapText="1"/>
    </xf>
    <xf numFmtId="4" fontId="6" fillId="0" borderId="0" xfId="9" applyNumberFormat="1" applyFont="1"/>
    <xf numFmtId="0" fontId="6" fillId="0" borderId="0" xfId="9" applyFont="1" applyProtection="1">
      <protection locked="0"/>
    </xf>
    <xf numFmtId="4" fontId="6" fillId="0" borderId="0" xfId="9" applyNumberFormat="1" applyFont="1" applyProtection="1">
      <protection locked="0"/>
    </xf>
    <xf numFmtId="0" fontId="9" fillId="0" borderId="0" xfId="9" applyFont="1"/>
    <xf numFmtId="0" fontId="6" fillId="0" borderId="64" xfId="9" applyFont="1" applyBorder="1" applyAlignment="1">
      <alignment horizontal="left" vertical="center"/>
    </xf>
    <xf numFmtId="0" fontId="12" fillId="0" borderId="40" xfId="9" applyFont="1" applyBorder="1" applyAlignment="1">
      <alignment vertical="center" wrapText="1"/>
    </xf>
    <xf numFmtId="3" fontId="12" fillId="0" borderId="46" xfId="9" applyNumberFormat="1" applyFont="1" applyBorder="1" applyAlignment="1" applyProtection="1">
      <alignment horizontal="right" vertical="center" wrapText="1"/>
      <protection locked="0"/>
    </xf>
    <xf numFmtId="0" fontId="12" fillId="0" borderId="0" xfId="9" applyFont="1" applyAlignment="1">
      <alignment horizontal="right" vertical="center" wrapText="1"/>
    </xf>
    <xf numFmtId="0" fontId="12" fillId="0" borderId="13" xfId="9" applyFont="1" applyBorder="1" applyAlignment="1">
      <alignment vertical="center" wrapText="1"/>
    </xf>
    <xf numFmtId="3" fontId="12" fillId="0" borderId="65" xfId="9" applyNumberFormat="1" applyFont="1" applyBorder="1" applyAlignment="1" applyProtection="1">
      <alignment horizontal="right" vertical="center" wrapText="1"/>
      <protection locked="0"/>
    </xf>
    <xf numFmtId="0" fontId="26" fillId="0" borderId="66" xfId="9" applyFont="1" applyBorder="1" applyAlignment="1">
      <alignment horizontal="left" vertical="center" wrapText="1"/>
    </xf>
    <xf numFmtId="0" fontId="12" fillId="0" borderId="0" xfId="9" applyFont="1" applyAlignment="1">
      <alignment vertical="center" wrapText="1"/>
    </xf>
    <xf numFmtId="4" fontId="6" fillId="0" borderId="0" xfId="9" applyNumberFormat="1" applyFont="1" applyAlignment="1" applyProtection="1">
      <alignment vertical="center"/>
      <protection hidden="1"/>
    </xf>
    <xf numFmtId="4" fontId="12" fillId="0" borderId="0" xfId="9" applyNumberFormat="1" applyFont="1" applyAlignment="1">
      <alignment vertical="center" wrapText="1"/>
    </xf>
    <xf numFmtId="4" fontId="19" fillId="0" borderId="0" xfId="9" applyNumberFormat="1" applyFont="1" applyAlignment="1">
      <alignment vertical="center" wrapText="1"/>
    </xf>
    <xf numFmtId="0" fontId="6" fillId="0" borderId="0" xfId="9" applyFont="1" applyAlignment="1" applyProtection="1">
      <alignment horizontal="left" vertical="center" wrapText="1"/>
      <protection locked="0"/>
    </xf>
    <xf numFmtId="4" fontId="6" fillId="0" borderId="0" xfId="9" applyNumberFormat="1" applyFont="1" applyAlignment="1" applyProtection="1">
      <alignment horizontal="left" vertical="center" wrapText="1"/>
      <protection locked="0"/>
    </xf>
    <xf numFmtId="0" fontId="29" fillId="0" borderId="0" xfId="9" applyFont="1" applyAlignment="1">
      <alignment vertical="center" wrapText="1"/>
    </xf>
    <xf numFmtId="0" fontId="29" fillId="0" borderId="0" xfId="9" applyFont="1" applyAlignment="1">
      <alignment horizontal="center" vertical="center" wrapText="1"/>
    </xf>
    <xf numFmtId="0" fontId="29" fillId="0" borderId="0" xfId="9" applyFont="1" applyAlignment="1">
      <alignment horizontal="justify" vertical="center" wrapText="1"/>
    </xf>
    <xf numFmtId="4" fontId="29" fillId="0" borderId="0" xfId="9" applyNumberFormat="1" applyFont="1" applyAlignment="1">
      <alignment horizontal="justify" vertical="center" wrapText="1"/>
    </xf>
    <xf numFmtId="0" fontId="6" fillId="0" borderId="5" xfId="9" applyFont="1" applyBorder="1" applyAlignment="1">
      <alignment horizontal="center" vertical="center"/>
    </xf>
    <xf numFmtId="0" fontId="6" fillId="0" borderId="45" xfId="9" applyFont="1" applyBorder="1" applyAlignment="1">
      <alignment horizontal="center" vertical="center"/>
    </xf>
    <xf numFmtId="0" fontId="6" fillId="0" borderId="6" xfId="9" applyFont="1" applyBorder="1" applyAlignment="1">
      <alignment horizontal="center" vertical="center"/>
    </xf>
    <xf numFmtId="4" fontId="6" fillId="0" borderId="19" xfId="9" applyNumberFormat="1" applyFont="1" applyBorder="1" applyAlignment="1">
      <alignment horizontal="center" vertical="center"/>
    </xf>
    <xf numFmtId="4" fontId="6" fillId="0" borderId="20" xfId="9" applyNumberFormat="1" applyFont="1" applyBorder="1" applyAlignment="1">
      <alignment horizontal="center" vertical="center"/>
    </xf>
    <xf numFmtId="0" fontId="6" fillId="0" borderId="32" xfId="9" applyFont="1" applyBorder="1" applyAlignment="1">
      <alignment vertical="center"/>
    </xf>
    <xf numFmtId="3" fontId="6" fillId="0" borderId="32" xfId="9" applyNumberFormat="1" applyFont="1" applyBorder="1" applyAlignment="1" applyProtection="1">
      <alignment vertical="center"/>
      <protection locked="0"/>
    </xf>
    <xf numFmtId="3" fontId="6" fillId="0" borderId="46" xfId="9" applyNumberFormat="1" applyFont="1" applyBorder="1" applyAlignment="1">
      <alignment vertical="center"/>
    </xf>
    <xf numFmtId="3" fontId="6" fillId="0" borderId="15" xfId="9" applyNumberFormat="1" applyFont="1" applyBorder="1" applyAlignment="1">
      <alignment vertical="center"/>
    </xf>
    <xf numFmtId="3" fontId="6" fillId="0" borderId="13" xfId="9" applyNumberFormat="1" applyFont="1" applyBorder="1" applyAlignment="1" applyProtection="1">
      <alignment horizontal="right" vertical="center" wrapText="1"/>
      <protection locked="0"/>
    </xf>
    <xf numFmtId="3" fontId="6" fillId="0" borderId="15" xfId="9" applyNumberFormat="1" applyFont="1" applyBorder="1" applyAlignment="1">
      <alignment horizontal="right" vertical="center" wrapText="1"/>
    </xf>
    <xf numFmtId="0" fontId="6" fillId="0" borderId="67" xfId="9" applyFont="1" applyBorder="1" applyAlignment="1">
      <alignment vertical="center"/>
    </xf>
    <xf numFmtId="3" fontId="6" fillId="0" borderId="40" xfId="9" applyNumberFormat="1" applyFont="1" applyBorder="1" applyAlignment="1" applyProtection="1">
      <alignment horizontal="right" vertical="center" wrapText="1"/>
      <protection locked="0"/>
    </xf>
    <xf numFmtId="0" fontId="6" fillId="0" borderId="68" xfId="9" applyFont="1" applyBorder="1" applyAlignment="1">
      <alignment vertical="center"/>
    </xf>
    <xf numFmtId="3" fontId="6" fillId="0" borderId="22" xfId="9" applyNumberFormat="1" applyFont="1" applyBorder="1" applyAlignment="1">
      <alignment horizontal="right" vertical="center"/>
    </xf>
    <xf numFmtId="3" fontId="6" fillId="0" borderId="61" xfId="9" applyNumberFormat="1" applyFont="1" applyBorder="1" applyAlignment="1">
      <alignment vertical="center"/>
    </xf>
    <xf numFmtId="0" fontId="6" fillId="0" borderId="14" xfId="9" applyFont="1" applyBorder="1" applyAlignment="1">
      <alignment vertical="center"/>
    </xf>
    <xf numFmtId="3" fontId="6" fillId="0" borderId="2" xfId="9" applyNumberFormat="1" applyFont="1" applyBorder="1" applyAlignment="1">
      <alignment vertical="center"/>
    </xf>
    <xf numFmtId="3" fontId="6" fillId="0" borderId="32" xfId="9" applyNumberFormat="1" applyFont="1" applyBorder="1" applyAlignment="1" applyProtection="1">
      <alignment vertical="center"/>
      <protection hidden="1"/>
    </xf>
    <xf numFmtId="170" fontId="27" fillId="0" borderId="0" xfId="9" applyNumberFormat="1" applyFont="1" applyAlignment="1">
      <alignment vertical="center"/>
    </xf>
    <xf numFmtId="0" fontId="6" fillId="0" borderId="28" xfId="9" applyFont="1" applyBorder="1" applyAlignment="1">
      <alignment vertical="center"/>
    </xf>
    <xf numFmtId="0" fontId="12" fillId="0" borderId="0" xfId="9" applyFont="1" applyAlignment="1">
      <alignment vertical="top" wrapText="1"/>
    </xf>
    <xf numFmtId="0" fontId="12" fillId="0" borderId="0" xfId="9" applyFont="1" applyAlignment="1">
      <alignment horizontal="right" vertical="top" wrapText="1"/>
    </xf>
    <xf numFmtId="0" fontId="29" fillId="0" borderId="0" xfId="9" applyFont="1" applyAlignment="1">
      <alignment vertical="top" wrapText="1"/>
    </xf>
    <xf numFmtId="0" fontId="29" fillId="0" borderId="0" xfId="9" applyFont="1" applyAlignment="1">
      <alignment horizontal="center" vertical="top" wrapText="1"/>
    </xf>
    <xf numFmtId="0" fontId="29" fillId="0" borderId="0" xfId="9" applyFont="1" applyAlignment="1">
      <alignment horizontal="justify" vertical="top" wrapText="1"/>
    </xf>
    <xf numFmtId="0" fontId="15" fillId="0" borderId="0" xfId="9" applyFont="1" applyProtection="1">
      <protection locked="0"/>
    </xf>
    <xf numFmtId="0" fontId="19" fillId="0" borderId="0" xfId="9" applyFont="1" applyProtection="1">
      <protection locked="0"/>
    </xf>
    <xf numFmtId="0" fontId="27" fillId="0" borderId="0" xfId="9" applyFont="1" applyProtection="1">
      <protection locked="0"/>
    </xf>
    <xf numFmtId="0" fontId="6" fillId="0" borderId="3" xfId="9" applyFont="1" applyBorder="1" applyAlignment="1">
      <alignment vertical="center"/>
    </xf>
    <xf numFmtId="0" fontId="6" fillId="0" borderId="38" xfId="9" applyFont="1" applyBorder="1" applyAlignment="1">
      <alignment vertical="center"/>
    </xf>
    <xf numFmtId="0" fontId="6" fillId="0" borderId="0" xfId="9" applyFont="1" applyAlignment="1" applyProtection="1">
      <alignment wrapText="1"/>
      <protection locked="0"/>
    </xf>
    <xf numFmtId="0" fontId="66" fillId="0" borderId="0" xfId="0" applyFont="1"/>
    <xf numFmtId="0" fontId="6" fillId="0" borderId="69" xfId="9" applyFont="1" applyBorder="1" applyAlignment="1">
      <alignment vertical="center"/>
    </xf>
    <xf numFmtId="0" fontId="44" fillId="0" borderId="0" xfId="9" applyFont="1" applyAlignment="1">
      <alignment vertical="center"/>
    </xf>
    <xf numFmtId="0" fontId="37" fillId="0" borderId="0" xfId="9" applyFont="1" applyAlignment="1" applyProtection="1">
      <alignment vertical="center"/>
      <protection locked="0"/>
    </xf>
    <xf numFmtId="0" fontId="35" fillId="0" borderId="0" xfId="0" applyFont="1" applyAlignment="1">
      <alignment horizontal="right" vertical="center"/>
    </xf>
    <xf numFmtId="0" fontId="36" fillId="0" borderId="0" xfId="9" applyFont="1" applyAlignment="1" applyProtection="1">
      <alignment horizontal="right" vertical="center"/>
      <protection locked="0"/>
    </xf>
    <xf numFmtId="0" fontId="36" fillId="0" borderId="0" xfId="9" applyFont="1" applyAlignment="1">
      <alignment horizontal="right" vertical="center"/>
    </xf>
    <xf numFmtId="0" fontId="6" fillId="0" borderId="64" xfId="9" applyFont="1" applyBorder="1" applyAlignment="1">
      <alignment horizontal="center" vertical="center"/>
    </xf>
    <xf numFmtId="0" fontId="6" fillId="0" borderId="23" xfId="9" applyFont="1" applyBorder="1" applyAlignment="1">
      <alignment horizontal="center" vertical="center" wrapText="1"/>
    </xf>
    <xf numFmtId="0" fontId="8" fillId="6" borderId="70" xfId="9" applyFont="1" applyFill="1" applyBorder="1" applyAlignment="1">
      <alignment vertical="center" wrapText="1"/>
    </xf>
    <xf numFmtId="3" fontId="8" fillId="6" borderId="22" xfId="9" applyNumberFormat="1" applyFont="1" applyFill="1" applyBorder="1" applyAlignment="1">
      <alignment vertical="center" wrapText="1"/>
    </xf>
    <xf numFmtId="167" fontId="6" fillId="6" borderId="13" xfId="9" applyNumberFormat="1" applyFont="1" applyFill="1" applyBorder="1" applyAlignment="1">
      <alignment horizontal="right" vertical="center"/>
    </xf>
    <xf numFmtId="3" fontId="8" fillId="6" borderId="33" xfId="9" applyNumberFormat="1" applyFont="1" applyFill="1" applyBorder="1" applyAlignment="1">
      <alignment vertical="center" wrapText="1"/>
    </xf>
    <xf numFmtId="3" fontId="8" fillId="6" borderId="32" xfId="9" applyNumberFormat="1" applyFont="1" applyFill="1" applyBorder="1" applyAlignment="1">
      <alignment vertical="center" wrapText="1"/>
    </xf>
    <xf numFmtId="0" fontId="45" fillId="0" borderId="0" xfId="9" applyFont="1" applyAlignment="1">
      <alignment horizontal="left" vertical="center"/>
    </xf>
    <xf numFmtId="0" fontId="6" fillId="0" borderId="9" xfId="9" applyFont="1" applyBorder="1" applyAlignment="1">
      <alignment horizontal="center" vertical="center" wrapText="1"/>
    </xf>
    <xf numFmtId="0" fontId="6" fillId="0" borderId="48" xfId="9" applyFont="1" applyBorder="1" applyAlignment="1">
      <alignment horizontal="center" vertical="center" wrapText="1"/>
    </xf>
    <xf numFmtId="0" fontId="6" fillId="0" borderId="11" xfId="9" applyFont="1" applyBorder="1" applyAlignment="1">
      <alignment horizontal="center" vertical="center" wrapText="1"/>
    </xf>
    <xf numFmtId="0" fontId="6" fillId="6" borderId="9" xfId="9" applyFont="1" applyFill="1" applyBorder="1" applyAlignment="1">
      <alignment horizontal="center" vertical="center" wrapText="1"/>
    </xf>
    <xf numFmtId="0" fontId="6" fillId="6" borderId="12" xfId="9" applyFont="1" applyFill="1" applyBorder="1" applyAlignment="1">
      <alignment horizontal="center" vertical="center" wrapText="1"/>
    </xf>
    <xf numFmtId="0" fontId="42" fillId="0" borderId="0" xfId="9" applyFont="1" applyAlignment="1">
      <alignment vertical="center"/>
    </xf>
    <xf numFmtId="0" fontId="10" fillId="0" borderId="67" xfId="9" applyFont="1" applyBorder="1" applyAlignment="1">
      <alignment horizontal="center" vertical="center" wrapText="1"/>
    </xf>
    <xf numFmtId="0" fontId="10" fillId="0" borderId="71" xfId="9" applyFont="1" applyBorder="1" applyAlignment="1">
      <alignment horizontal="center" vertical="center" wrapText="1"/>
    </xf>
    <xf numFmtId="3" fontId="8" fillId="0" borderId="5" xfId="9" applyNumberFormat="1" applyFont="1" applyBorder="1" applyAlignment="1">
      <alignment horizontal="center" vertical="center"/>
    </xf>
    <xf numFmtId="3" fontId="7" fillId="0" borderId="19" xfId="9" applyNumberFormat="1" applyFont="1" applyBorder="1" applyAlignment="1">
      <alignment vertical="center"/>
    </xf>
    <xf numFmtId="167" fontId="8" fillId="6" borderId="23" xfId="9" applyNumberFormat="1" applyFont="1" applyFill="1" applyBorder="1" applyAlignment="1">
      <alignment horizontal="right" vertical="center"/>
    </xf>
    <xf numFmtId="166" fontId="6" fillId="0" borderId="59" xfId="9" applyNumberFormat="1" applyFont="1" applyBorder="1" applyAlignment="1">
      <alignment horizontal="right" vertical="center"/>
    </xf>
    <xf numFmtId="167" fontId="8" fillId="6" borderId="15" xfId="9" applyNumberFormat="1" applyFont="1" applyFill="1" applyBorder="1" applyAlignment="1">
      <alignment horizontal="right" vertical="center"/>
    </xf>
    <xf numFmtId="167" fontId="7" fillId="2" borderId="20" xfId="9" applyNumberFormat="1" applyFont="1" applyFill="1" applyBorder="1" applyAlignment="1">
      <alignment horizontal="right" vertical="center"/>
    </xf>
    <xf numFmtId="3" fontId="6" fillId="0" borderId="22" xfId="9" applyNumberFormat="1" applyFont="1" applyBorder="1" applyAlignment="1" applyProtection="1">
      <alignment vertical="center"/>
      <protection locked="0"/>
    </xf>
    <xf numFmtId="3" fontId="24" fillId="0" borderId="13" xfId="10" applyNumberFormat="1" applyFont="1" applyBorder="1" applyAlignment="1">
      <alignment horizontal="right" vertical="center"/>
    </xf>
    <xf numFmtId="3" fontId="24" fillId="0" borderId="23" xfId="10" applyNumberFormat="1" applyFont="1" applyBorder="1" applyAlignment="1">
      <alignment horizontal="right" vertical="center"/>
    </xf>
    <xf numFmtId="3" fontId="6" fillId="0" borderId="13" xfId="10" applyNumberFormat="1" applyFont="1" applyBorder="1" applyAlignment="1">
      <alignment horizontal="right" vertical="center"/>
    </xf>
    <xf numFmtId="3" fontId="6" fillId="0" borderId="15" xfId="10" applyNumberFormat="1" applyFont="1" applyBorder="1" applyAlignment="1">
      <alignment horizontal="right" vertical="center"/>
    </xf>
    <xf numFmtId="3" fontId="67" fillId="0" borderId="15" xfId="10" applyNumberFormat="1" applyFont="1" applyBorder="1" applyAlignment="1">
      <alignment horizontal="right" vertical="center"/>
    </xf>
    <xf numFmtId="49" fontId="6" fillId="0" borderId="13" xfId="10" applyNumberFormat="1" applyFont="1" applyBorder="1" applyAlignment="1">
      <alignment horizontal="right" vertical="center"/>
    </xf>
    <xf numFmtId="3" fontId="24" fillId="0" borderId="32" xfId="10" applyNumberFormat="1" applyFont="1" applyBorder="1" applyAlignment="1">
      <alignment horizontal="right" vertical="center"/>
    </xf>
    <xf numFmtId="3" fontId="24" fillId="0" borderId="46" xfId="10" applyNumberFormat="1" applyFont="1" applyBorder="1" applyAlignment="1">
      <alignment horizontal="right" vertical="center"/>
    </xf>
    <xf numFmtId="3" fontId="24" fillId="0" borderId="15" xfId="10" applyNumberFormat="1" applyFont="1" applyBorder="1" applyAlignment="1">
      <alignment horizontal="right" vertical="center"/>
    </xf>
    <xf numFmtId="3" fontId="24" fillId="0" borderId="32" xfId="10" applyNumberFormat="1" applyFont="1" applyBorder="1" applyAlignment="1">
      <alignment horizontal="right" vertical="center" wrapText="1"/>
    </xf>
    <xf numFmtId="3" fontId="24" fillId="0" borderId="46" xfId="10" applyNumberFormat="1" applyFont="1" applyBorder="1" applyAlignment="1">
      <alignment horizontal="right" vertical="center" wrapText="1"/>
    </xf>
    <xf numFmtId="3" fontId="24" fillId="0" borderId="13" xfId="10" applyNumberFormat="1" applyFont="1" applyBorder="1" applyAlignment="1">
      <alignment horizontal="right" vertical="center" wrapText="1"/>
    </xf>
    <xf numFmtId="3" fontId="24" fillId="0" borderId="15" xfId="10" applyNumberFormat="1" applyFont="1" applyBorder="1" applyAlignment="1">
      <alignment horizontal="right" vertical="center" wrapText="1"/>
    </xf>
    <xf numFmtId="3" fontId="6" fillId="0" borderId="13" xfId="10" applyNumberFormat="1" applyFont="1" applyBorder="1" applyAlignment="1">
      <alignment horizontal="right" vertical="center" wrapText="1"/>
    </xf>
    <xf numFmtId="3" fontId="6" fillId="0" borderId="15" xfId="10" applyNumberFormat="1" applyFont="1" applyBorder="1" applyAlignment="1">
      <alignment horizontal="right" vertical="center" wrapText="1"/>
    </xf>
    <xf numFmtId="3" fontId="6" fillId="0" borderId="16" xfId="10" applyNumberFormat="1" applyFont="1" applyBorder="1" applyAlignment="1">
      <alignment horizontal="right" vertical="center" wrapText="1"/>
    </xf>
    <xf numFmtId="3" fontId="6" fillId="0" borderId="42" xfId="10" applyNumberFormat="1" applyFont="1" applyBorder="1" applyAlignment="1">
      <alignment horizontal="right" vertical="center" wrapText="1"/>
    </xf>
    <xf numFmtId="3" fontId="24" fillId="0" borderId="22" xfId="10" applyNumberFormat="1" applyFont="1" applyBorder="1" applyAlignment="1">
      <alignment horizontal="right" vertical="center" wrapText="1"/>
    </xf>
    <xf numFmtId="3" fontId="24" fillId="0" borderId="23" xfId="10" applyNumberFormat="1" applyFont="1" applyBorder="1" applyAlignment="1">
      <alignment horizontal="right" vertical="center" wrapText="1"/>
    </xf>
    <xf numFmtId="166" fontId="58" fillId="5" borderId="19" xfId="0" applyNumberFormat="1" applyFont="1" applyFill="1" applyBorder="1"/>
    <xf numFmtId="0" fontId="6" fillId="0" borderId="30" xfId="9" applyFont="1" applyBorder="1" applyAlignment="1">
      <alignment vertical="center"/>
    </xf>
    <xf numFmtId="3" fontId="6" fillId="0" borderId="42" xfId="9" applyNumberFormat="1" applyFont="1" applyBorder="1" applyAlignment="1" applyProtection="1">
      <alignment vertical="center"/>
      <protection locked="0"/>
    </xf>
    <xf numFmtId="0" fontId="8" fillId="0" borderId="27" xfId="9" applyFont="1" applyBorder="1" applyAlignment="1">
      <alignment horizontal="justify" vertical="top" wrapText="1"/>
    </xf>
    <xf numFmtId="3" fontId="8" fillId="0" borderId="61" xfId="9" applyNumberFormat="1" applyFont="1" applyBorder="1" applyAlignment="1">
      <alignment horizontal="right" vertical="top" wrapText="1"/>
    </xf>
    <xf numFmtId="3" fontId="8" fillId="0" borderId="4" xfId="9" applyNumberFormat="1" applyFont="1" applyBorder="1" applyAlignment="1" applyProtection="1">
      <alignment horizontal="right" vertical="top" wrapText="1"/>
      <protection locked="0"/>
    </xf>
    <xf numFmtId="0" fontId="68" fillId="0" borderId="0" xfId="0" applyFont="1" applyAlignment="1">
      <alignment vertical="center"/>
    </xf>
    <xf numFmtId="0" fontId="68" fillId="0" borderId="0" xfId="0" applyFont="1" applyAlignment="1">
      <alignment horizontal="left" vertical="center"/>
    </xf>
    <xf numFmtId="170" fontId="6" fillId="0" borderId="0" xfId="9" applyNumberFormat="1" applyFont="1"/>
    <xf numFmtId="0" fontId="69" fillId="5" borderId="0" xfId="9" applyFont="1" applyFill="1" applyAlignment="1">
      <alignment horizontal="right" vertical="center"/>
    </xf>
    <xf numFmtId="0" fontId="0" fillId="0" borderId="25" xfId="0" applyBorder="1" applyAlignment="1">
      <alignment horizontal="center" vertical="center" wrapText="1" shrinkToFit="1"/>
    </xf>
    <xf numFmtId="0" fontId="68" fillId="0" borderId="0" xfId="0" applyFont="1"/>
    <xf numFmtId="0" fontId="70" fillId="0" borderId="0" xfId="0" applyFont="1" applyAlignment="1">
      <alignment horizontal="right" vertical="center"/>
    </xf>
    <xf numFmtId="0" fontId="37" fillId="0" borderId="0" xfId="0" applyFont="1" applyAlignment="1">
      <alignment vertical="center"/>
    </xf>
    <xf numFmtId="0" fontId="71" fillId="5" borderId="0" xfId="9" applyFont="1" applyFill="1" applyAlignment="1" applyProtection="1">
      <alignment vertical="center"/>
      <protection locked="0"/>
    </xf>
    <xf numFmtId="0" fontId="12" fillId="7" borderId="3" xfId="0" applyFont="1" applyFill="1" applyBorder="1" applyAlignment="1">
      <alignment horizontal="center" vertical="center"/>
    </xf>
    <xf numFmtId="0" fontId="13" fillId="7" borderId="28" xfId="0" applyFont="1" applyFill="1" applyBorder="1" applyAlignment="1">
      <alignment horizontal="center" vertical="center"/>
    </xf>
    <xf numFmtId="166" fontId="14" fillId="5" borderId="46" xfId="9" applyNumberFormat="1" applyFont="1" applyFill="1" applyBorder="1" applyAlignment="1" applyProtection="1">
      <alignment horizontal="center" vertical="center" wrapText="1"/>
      <protection locked="0"/>
    </xf>
    <xf numFmtId="166" fontId="14" fillId="5" borderId="15" xfId="9" applyNumberFormat="1" applyFont="1" applyFill="1" applyBorder="1" applyAlignment="1" applyProtection="1">
      <alignment horizontal="center" vertical="center" wrapText="1"/>
      <protection locked="0"/>
    </xf>
    <xf numFmtId="166" fontId="21" fillId="5" borderId="15" xfId="9" applyNumberFormat="1" applyFont="1" applyFill="1" applyBorder="1" applyAlignment="1" applyProtection="1">
      <alignment horizontal="center" vertical="center" wrapText="1"/>
      <protection locked="0"/>
    </xf>
    <xf numFmtId="166" fontId="14" fillId="5" borderId="42" xfId="9" applyNumberFormat="1" applyFont="1" applyFill="1" applyBorder="1" applyAlignment="1">
      <alignment horizontal="center" vertical="center" wrapText="1"/>
    </xf>
    <xf numFmtId="166" fontId="0" fillId="5" borderId="20" xfId="0" applyNumberFormat="1" applyFill="1" applyBorder="1" applyAlignment="1">
      <alignment horizontal="center"/>
    </xf>
    <xf numFmtId="3" fontId="6" fillId="8" borderId="72" xfId="9" applyNumberFormat="1" applyFont="1" applyFill="1" applyBorder="1" applyAlignment="1">
      <alignment vertical="center"/>
    </xf>
    <xf numFmtId="3" fontId="6" fillId="8" borderId="73" xfId="9" applyNumberFormat="1" applyFont="1" applyFill="1" applyBorder="1" applyAlignment="1">
      <alignment vertical="center"/>
    </xf>
    <xf numFmtId="3" fontId="6" fillId="8" borderId="74" xfId="9" applyNumberFormat="1" applyFont="1" applyFill="1" applyBorder="1" applyAlignment="1">
      <alignment vertical="center"/>
    </xf>
    <xf numFmtId="3" fontId="6" fillId="6" borderId="75" xfId="9" applyNumberFormat="1" applyFont="1" applyFill="1" applyBorder="1" applyAlignment="1">
      <alignment vertical="center"/>
    </xf>
    <xf numFmtId="3" fontId="6" fillId="6" borderId="76" xfId="9" applyNumberFormat="1" applyFont="1" applyFill="1" applyBorder="1" applyAlignment="1">
      <alignment vertical="center"/>
    </xf>
    <xf numFmtId="3" fontId="6" fillId="6" borderId="77" xfId="9" applyNumberFormat="1" applyFont="1" applyFill="1" applyBorder="1" applyAlignment="1">
      <alignment vertical="center"/>
    </xf>
    <xf numFmtId="3" fontId="46" fillId="0" borderId="16" xfId="10" applyNumberFormat="1" applyFont="1" applyBorder="1" applyAlignment="1">
      <alignment horizontal="right" vertical="center"/>
    </xf>
    <xf numFmtId="3" fontId="46" fillId="0" borderId="42" xfId="10" applyNumberFormat="1" applyFont="1" applyBorder="1" applyAlignment="1">
      <alignment horizontal="right" vertical="center"/>
    </xf>
    <xf numFmtId="3" fontId="46" fillId="0" borderId="22" xfId="10" applyNumberFormat="1" applyFont="1" applyBorder="1" applyAlignment="1">
      <alignment horizontal="right" vertical="center"/>
    </xf>
    <xf numFmtId="3" fontId="46" fillId="0" borderId="23" xfId="10" applyNumberFormat="1" applyFont="1" applyBorder="1" applyAlignment="1">
      <alignment horizontal="right" vertical="center"/>
    </xf>
    <xf numFmtId="3" fontId="46" fillId="0" borderId="32" xfId="10" applyNumberFormat="1" applyFont="1" applyBorder="1" applyAlignment="1">
      <alignment horizontal="right" vertical="center"/>
    </xf>
    <xf numFmtId="3" fontId="46" fillId="0" borderId="15" xfId="10" applyNumberFormat="1" applyFont="1" applyBorder="1" applyAlignment="1">
      <alignment horizontal="right" vertical="center"/>
    </xf>
    <xf numFmtId="3" fontId="46" fillId="0" borderId="16" xfId="10" applyNumberFormat="1" applyFont="1" applyBorder="1" applyAlignment="1">
      <alignment horizontal="right" vertical="center" wrapText="1"/>
    </xf>
    <xf numFmtId="3" fontId="46" fillId="0" borderId="42" xfId="10" applyNumberFormat="1" applyFont="1" applyBorder="1" applyAlignment="1">
      <alignment horizontal="right" vertical="center" wrapText="1"/>
    </xf>
    <xf numFmtId="3" fontId="46" fillId="0" borderId="26" xfId="10" applyNumberFormat="1" applyFont="1" applyBorder="1" applyAlignment="1">
      <alignment horizontal="right" vertical="center" wrapText="1"/>
    </xf>
    <xf numFmtId="0" fontId="8" fillId="9" borderId="1" xfId="9" applyFont="1" applyFill="1" applyBorder="1" applyAlignment="1" applyProtection="1">
      <alignment horizontal="center" vertical="center"/>
      <protection locked="0"/>
    </xf>
    <xf numFmtId="0" fontId="8" fillId="9" borderId="3" xfId="9" applyFont="1" applyFill="1" applyBorder="1" applyAlignment="1" applyProtection="1">
      <alignment horizontal="center" vertical="center"/>
      <protection locked="0"/>
    </xf>
    <xf numFmtId="0" fontId="8" fillId="9" borderId="13" xfId="9" applyFont="1" applyFill="1" applyBorder="1" applyAlignment="1">
      <alignment horizontal="left" vertical="center"/>
    </xf>
    <xf numFmtId="0" fontId="8" fillId="9" borderId="13" xfId="9" applyFont="1" applyFill="1" applyBorder="1" applyAlignment="1">
      <alignment horizontal="left" vertical="center" wrapText="1"/>
    </xf>
    <xf numFmtId="0" fontId="8" fillId="9" borderId="30" xfId="9" applyFont="1" applyFill="1" applyBorder="1" applyAlignment="1" applyProtection="1">
      <alignment horizontal="center" vertical="center"/>
      <protection locked="0"/>
    </xf>
    <xf numFmtId="0" fontId="61" fillId="10" borderId="78" xfId="9" applyFont="1" applyFill="1" applyBorder="1" applyAlignment="1">
      <alignment horizontal="center" vertical="center"/>
    </xf>
    <xf numFmtId="0" fontId="61" fillId="7" borderId="79" xfId="9" applyFont="1" applyFill="1" applyBorder="1" applyAlignment="1">
      <alignment vertical="center"/>
    </xf>
    <xf numFmtId="0" fontId="61" fillId="7" borderId="80" xfId="9" applyFont="1" applyFill="1" applyBorder="1" applyAlignment="1">
      <alignment horizontal="center" vertical="center"/>
    </xf>
    <xf numFmtId="0" fontId="61" fillId="8" borderId="79" xfId="9" applyFont="1" applyFill="1" applyBorder="1" applyAlignment="1">
      <alignment vertical="center"/>
    </xf>
    <xf numFmtId="0" fontId="61" fillId="8" borderId="81" xfId="9" applyFont="1" applyFill="1" applyBorder="1" applyAlignment="1">
      <alignment vertical="center"/>
    </xf>
    <xf numFmtId="0" fontId="61" fillId="8" borderId="81" xfId="12" applyFont="1" applyFill="1" applyBorder="1" applyAlignment="1">
      <alignment horizontal="right" vertical="center"/>
    </xf>
    <xf numFmtId="0" fontId="61" fillId="8" borderId="81" xfId="12" applyFont="1" applyFill="1" applyBorder="1" applyAlignment="1">
      <alignment horizontal="left" vertical="center"/>
    </xf>
    <xf numFmtId="0" fontId="61" fillId="8" borderId="82" xfId="9" applyFont="1" applyFill="1" applyBorder="1" applyAlignment="1">
      <alignment vertical="center"/>
    </xf>
    <xf numFmtId="0" fontId="61" fillId="8" borderId="80" xfId="9" applyFont="1" applyFill="1" applyBorder="1" applyAlignment="1">
      <alignment horizontal="center" vertical="center"/>
    </xf>
    <xf numFmtId="0" fontId="61" fillId="11" borderId="79" xfId="9" applyFont="1" applyFill="1" applyBorder="1" applyAlignment="1">
      <alignment vertical="center"/>
    </xf>
    <xf numFmtId="0" fontId="61" fillId="11" borderId="81" xfId="9" applyFont="1" applyFill="1" applyBorder="1" applyAlignment="1">
      <alignment vertical="center"/>
    </xf>
    <xf numFmtId="0" fontId="61" fillId="11" borderId="82" xfId="9" applyFont="1" applyFill="1" applyBorder="1" applyAlignment="1">
      <alignment vertical="center"/>
    </xf>
    <xf numFmtId="0" fontId="61" fillId="11" borderId="80" xfId="9" applyFont="1" applyFill="1" applyBorder="1" applyAlignment="1">
      <alignment horizontal="center" vertical="center"/>
    </xf>
    <xf numFmtId="0" fontId="61" fillId="12" borderId="79" xfId="9" applyFont="1" applyFill="1" applyBorder="1" applyAlignment="1">
      <alignment vertical="center"/>
    </xf>
    <xf numFmtId="0" fontId="61" fillId="5" borderId="81" xfId="9" applyFont="1" applyFill="1" applyBorder="1" applyAlignment="1">
      <alignment vertical="center"/>
    </xf>
    <xf numFmtId="0" fontId="61" fillId="13" borderId="79" xfId="9" applyFont="1" applyFill="1" applyBorder="1" applyAlignment="1">
      <alignment vertical="center"/>
    </xf>
    <xf numFmtId="0" fontId="61" fillId="5" borderId="80" xfId="9" applyFont="1" applyFill="1" applyBorder="1" applyAlignment="1">
      <alignment horizontal="center" vertical="center"/>
    </xf>
    <xf numFmtId="0" fontId="61" fillId="14" borderId="79" xfId="9" applyFont="1" applyFill="1" applyBorder="1" applyAlignment="1">
      <alignment vertical="center"/>
    </xf>
    <xf numFmtId="0" fontId="61" fillId="15" borderId="79" xfId="9" applyFont="1" applyFill="1" applyBorder="1" applyAlignment="1">
      <alignment vertical="center"/>
    </xf>
    <xf numFmtId="0" fontId="61" fillId="2" borderId="81" xfId="9" applyFont="1" applyFill="1" applyBorder="1" applyAlignment="1">
      <alignment vertical="center"/>
    </xf>
    <xf numFmtId="0" fontId="61" fillId="15" borderId="83" xfId="9" applyFont="1" applyFill="1" applyBorder="1" applyAlignment="1">
      <alignment vertical="center"/>
    </xf>
    <xf numFmtId="0" fontId="61" fillId="2" borderId="84" xfId="9" applyFont="1" applyFill="1" applyBorder="1" applyAlignment="1">
      <alignment vertical="center"/>
    </xf>
    <xf numFmtId="0" fontId="61" fillId="5" borderId="85" xfId="9" applyFont="1" applyFill="1" applyBorder="1" applyAlignment="1">
      <alignment horizontal="center" vertical="center"/>
    </xf>
    <xf numFmtId="0" fontId="0" fillId="5" borderId="0" xfId="0" applyFill="1"/>
    <xf numFmtId="3" fontId="0" fillId="5" borderId="0" xfId="0" applyNumberFormat="1" applyFill="1" applyAlignment="1">
      <alignment horizontal="right"/>
    </xf>
    <xf numFmtId="0" fontId="61" fillId="11" borderId="81" xfId="12" applyFont="1" applyFill="1" applyBorder="1" applyAlignment="1">
      <alignment horizontal="right" vertical="center"/>
    </xf>
    <xf numFmtId="0" fontId="61" fillId="2" borderId="79" xfId="9" applyFont="1" applyFill="1" applyBorder="1" applyAlignment="1">
      <alignment vertical="center"/>
    </xf>
    <xf numFmtId="0" fontId="61" fillId="2" borderId="81" xfId="9" applyFont="1" applyFill="1" applyBorder="1" applyAlignment="1">
      <alignment horizontal="right" vertical="center"/>
    </xf>
    <xf numFmtId="0" fontId="61" fillId="5" borderId="81" xfId="12" applyFont="1" applyFill="1" applyBorder="1" applyAlignment="1">
      <alignment horizontal="left" vertical="center"/>
    </xf>
    <xf numFmtId="0" fontId="61" fillId="2" borderId="82" xfId="9" applyFont="1" applyFill="1" applyBorder="1" applyAlignment="1">
      <alignment vertical="center"/>
    </xf>
    <xf numFmtId="0" fontId="61" fillId="11" borderId="81" xfId="12" applyFont="1" applyFill="1" applyBorder="1" applyAlignment="1">
      <alignment horizontal="left" vertical="center"/>
    </xf>
    <xf numFmtId="0" fontId="61" fillId="5" borderId="79" xfId="9" applyFont="1" applyFill="1" applyBorder="1" applyAlignment="1">
      <alignment vertical="center"/>
    </xf>
    <xf numFmtId="0" fontId="61" fillId="5" borderId="82" xfId="9" applyFont="1" applyFill="1" applyBorder="1" applyAlignment="1">
      <alignment vertical="center"/>
    </xf>
    <xf numFmtId="0" fontId="61" fillId="10" borderId="86" xfId="9" applyFont="1" applyFill="1" applyBorder="1" applyAlignment="1">
      <alignment horizontal="center" vertical="center"/>
    </xf>
    <xf numFmtId="0" fontId="61" fillId="2" borderId="83" xfId="9" applyFont="1" applyFill="1" applyBorder="1" applyAlignment="1">
      <alignment vertical="center"/>
    </xf>
    <xf numFmtId="0" fontId="61" fillId="5" borderId="84" xfId="9" applyFont="1" applyFill="1" applyBorder="1" applyAlignment="1">
      <alignment vertical="center"/>
    </xf>
    <xf numFmtId="0" fontId="61" fillId="2" borderId="87" xfId="9" applyFont="1" applyFill="1" applyBorder="1" applyAlignment="1">
      <alignment vertical="center"/>
    </xf>
    <xf numFmtId="0" fontId="48" fillId="0" borderId="0" xfId="0" applyFont="1" applyAlignment="1">
      <alignment vertical="center"/>
    </xf>
    <xf numFmtId="0" fontId="12" fillId="0" borderId="66" xfId="0" applyFont="1" applyBorder="1" applyAlignment="1">
      <alignment horizontal="center" vertical="center" wrapText="1"/>
    </xf>
    <xf numFmtId="0" fontId="12" fillId="0" borderId="88" xfId="0" applyFont="1" applyBorder="1" applyAlignment="1">
      <alignment horizontal="center" vertical="center" wrapText="1"/>
    </xf>
    <xf numFmtId="0" fontId="13" fillId="3" borderId="66" xfId="0" applyFont="1" applyFill="1" applyBorder="1" applyAlignment="1">
      <alignment horizontal="center" vertical="center"/>
    </xf>
    <xf numFmtId="0" fontId="13" fillId="3" borderId="89" xfId="0" applyFont="1" applyFill="1" applyBorder="1" applyAlignment="1">
      <alignment horizontal="center" vertical="center"/>
    </xf>
    <xf numFmtId="0" fontId="12" fillId="9" borderId="33" xfId="0" applyFont="1" applyFill="1" applyBorder="1" applyAlignment="1">
      <alignment horizontal="center" vertical="center"/>
    </xf>
    <xf numFmtId="0" fontId="12" fillId="0" borderId="33" xfId="0" applyFont="1" applyBorder="1" applyAlignment="1">
      <alignment horizontal="center" vertical="center"/>
    </xf>
    <xf numFmtId="0" fontId="12" fillId="0" borderId="90" xfId="0" applyFont="1" applyBorder="1" applyAlignment="1">
      <alignment horizontal="center" vertical="center"/>
    </xf>
    <xf numFmtId="0" fontId="6" fillId="0" borderId="33" xfId="0" applyFont="1" applyBorder="1" applyAlignment="1">
      <alignment horizontal="center" vertical="center"/>
    </xf>
    <xf numFmtId="0" fontId="6" fillId="0" borderId="90" xfId="0" applyFont="1" applyBorder="1" applyAlignment="1">
      <alignment horizontal="center" vertical="center"/>
    </xf>
    <xf numFmtId="0" fontId="12" fillId="7" borderId="33"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41" xfId="0" applyFont="1" applyFill="1" applyBorder="1" applyAlignment="1">
      <alignment horizontal="center" vertical="center"/>
    </xf>
    <xf numFmtId="0" fontId="12" fillId="9" borderId="70" xfId="0" applyFont="1" applyFill="1" applyBorder="1" applyAlignment="1">
      <alignment horizontal="center" vertical="center"/>
    </xf>
    <xf numFmtId="0" fontId="13" fillId="9" borderId="91" xfId="0" applyFont="1" applyFill="1" applyBorder="1" applyAlignment="1">
      <alignment horizontal="left" vertical="center"/>
    </xf>
    <xf numFmtId="0" fontId="13" fillId="9" borderId="23" xfId="0" applyFont="1" applyFill="1" applyBorder="1" applyAlignment="1">
      <alignment horizontal="left" vertical="center"/>
    </xf>
    <xf numFmtId="0" fontId="13" fillId="2" borderId="33" xfId="0" applyFont="1" applyFill="1" applyBorder="1" applyAlignment="1">
      <alignment horizontal="center" vertical="center"/>
    </xf>
    <xf numFmtId="0" fontId="13" fillId="2" borderId="92" xfId="0" applyFont="1" applyFill="1" applyBorder="1" applyAlignment="1">
      <alignment horizontal="center" vertical="center"/>
    </xf>
    <xf numFmtId="0" fontId="12" fillId="2" borderId="33" xfId="0" applyFont="1" applyFill="1" applyBorder="1" applyAlignment="1">
      <alignment horizontal="center" vertical="center"/>
    </xf>
    <xf numFmtId="0" fontId="12" fillId="0" borderId="92" xfId="0" applyFont="1" applyBorder="1" applyAlignment="1">
      <alignment horizontal="center" vertical="center"/>
    </xf>
    <xf numFmtId="0" fontId="13" fillId="0" borderId="33" xfId="0" applyFont="1" applyBorder="1" applyAlignment="1">
      <alignment horizontal="center" vertical="center"/>
    </xf>
    <xf numFmtId="0" fontId="13" fillId="0" borderId="92" xfId="0" applyFont="1" applyBorder="1" applyAlignment="1">
      <alignment horizontal="center" vertical="center"/>
    </xf>
    <xf numFmtId="0" fontId="23" fillId="0" borderId="15" xfId="0" applyFont="1" applyBorder="1" applyAlignment="1">
      <alignment horizontal="left" vertical="center"/>
    </xf>
    <xf numFmtId="0" fontId="12" fillId="9" borderId="3" xfId="0" applyFont="1" applyFill="1" applyBorder="1" applyAlignment="1">
      <alignment horizontal="center" vertical="center"/>
    </xf>
    <xf numFmtId="0" fontId="12" fillId="5" borderId="33" xfId="0" applyFont="1" applyFill="1" applyBorder="1" applyAlignment="1">
      <alignment horizontal="center" vertical="center"/>
    </xf>
    <xf numFmtId="0" fontId="13" fillId="5" borderId="92" xfId="0" applyFont="1" applyFill="1" applyBorder="1" applyAlignment="1">
      <alignment horizontal="center" vertical="center"/>
    </xf>
    <xf numFmtId="0" fontId="13" fillId="9" borderId="41" xfId="0" applyFont="1" applyFill="1" applyBorder="1" applyAlignment="1">
      <alignment horizontal="center" vertical="center"/>
    </xf>
    <xf numFmtId="0" fontId="13" fillId="9" borderId="93" xfId="0" applyFont="1" applyFill="1" applyBorder="1" applyAlignment="1">
      <alignment horizontal="center" vertical="center"/>
    </xf>
    <xf numFmtId="0" fontId="12" fillId="0" borderId="26" xfId="0" applyFont="1" applyBorder="1" applyAlignment="1">
      <alignment horizontal="center" vertical="center" wrapText="1" shrinkToFit="1"/>
    </xf>
    <xf numFmtId="0" fontId="12" fillId="6" borderId="42" xfId="0" applyFont="1" applyFill="1" applyBorder="1" applyAlignment="1">
      <alignment horizontal="center" vertical="center" wrapText="1" shrinkToFit="1"/>
    </xf>
    <xf numFmtId="176" fontId="6" fillId="0" borderId="0" xfId="9" applyNumberFormat="1" applyFont="1" applyAlignment="1" applyProtection="1">
      <alignment vertical="center"/>
      <protection locked="0"/>
    </xf>
    <xf numFmtId="175" fontId="6" fillId="0" borderId="0" xfId="9" applyNumberFormat="1" applyFont="1" applyAlignment="1" applyProtection="1">
      <alignment vertical="center"/>
      <protection locked="0"/>
    </xf>
    <xf numFmtId="3" fontId="5" fillId="0" borderId="0" xfId="9" applyNumberFormat="1" applyFont="1" applyAlignment="1">
      <alignment vertical="center"/>
    </xf>
    <xf numFmtId="166" fontId="6" fillId="0" borderId="0" xfId="9" applyNumberFormat="1" applyFont="1" applyAlignment="1">
      <alignment vertical="center"/>
    </xf>
    <xf numFmtId="0" fontId="72" fillId="0" borderId="0" xfId="0" applyFont="1" applyAlignment="1">
      <alignment vertical="center"/>
    </xf>
    <xf numFmtId="166" fontId="73" fillId="0" borderId="0" xfId="9" applyNumberFormat="1" applyFont="1" applyAlignment="1">
      <alignment vertical="center"/>
    </xf>
    <xf numFmtId="0" fontId="73" fillId="0" borderId="0" xfId="9" applyFont="1" applyAlignment="1">
      <alignment vertical="center"/>
    </xf>
    <xf numFmtId="0" fontId="74" fillId="0" borderId="0" xfId="0" applyFont="1" applyAlignment="1">
      <alignment vertical="center"/>
    </xf>
    <xf numFmtId="166" fontId="8" fillId="0" borderId="0" xfId="9" applyNumberFormat="1" applyFont="1" applyAlignment="1">
      <alignment vertical="center"/>
    </xf>
    <xf numFmtId="166" fontId="14" fillId="0" borderId="46" xfId="9" applyNumberFormat="1" applyFont="1" applyBorder="1" applyAlignment="1" applyProtection="1">
      <alignment horizontal="right" vertical="center" wrapText="1"/>
      <protection locked="0"/>
    </xf>
    <xf numFmtId="166" fontId="14" fillId="0" borderId="15" xfId="9" applyNumberFormat="1" applyFont="1" applyBorder="1" applyAlignment="1" applyProtection="1">
      <alignment horizontal="right" vertical="center" wrapText="1"/>
      <protection locked="0"/>
    </xf>
    <xf numFmtId="166" fontId="58" fillId="0" borderId="3" xfId="0" applyNumberFormat="1" applyFont="1" applyBorder="1"/>
    <xf numFmtId="166" fontId="58" fillId="0" borderId="13" xfId="0" applyNumberFormat="1" applyFont="1" applyBorder="1"/>
    <xf numFmtId="166" fontId="21" fillId="0" borderId="15" xfId="9" applyNumberFormat="1" applyFont="1" applyBorder="1" applyAlignment="1" applyProtection="1">
      <alignment horizontal="right" vertical="center" wrapText="1"/>
      <protection locked="0"/>
    </xf>
    <xf numFmtId="0" fontId="6" fillId="6" borderId="3" xfId="9" applyFont="1" applyFill="1" applyBorder="1" applyAlignment="1">
      <alignment horizontal="center" vertical="center" wrapText="1"/>
    </xf>
    <xf numFmtId="0" fontId="6" fillId="6" borderId="15" xfId="9" applyFont="1" applyFill="1" applyBorder="1" applyAlignment="1">
      <alignment horizontal="center" vertical="center" wrapText="1"/>
    </xf>
    <xf numFmtId="166" fontId="14" fillId="6" borderId="1" xfId="9" applyNumberFormat="1" applyFont="1" applyFill="1" applyBorder="1" applyAlignment="1">
      <alignment horizontal="right" vertical="center"/>
    </xf>
    <xf numFmtId="166" fontId="14" fillId="6" borderId="46" xfId="9" applyNumberFormat="1" applyFont="1" applyFill="1" applyBorder="1" applyAlignment="1">
      <alignment horizontal="right" vertical="center"/>
    </xf>
    <xf numFmtId="166" fontId="14" fillId="6" borderId="3" xfId="9" applyNumberFormat="1" applyFont="1" applyFill="1" applyBorder="1" applyAlignment="1">
      <alignment horizontal="right" vertical="center"/>
    </xf>
    <xf numFmtId="166" fontId="14" fillId="6" borderId="15" xfId="9" applyNumberFormat="1" applyFont="1" applyFill="1" applyBorder="1" applyAlignment="1">
      <alignment horizontal="right" vertical="center"/>
    </xf>
    <xf numFmtId="166" fontId="14" fillId="6" borderId="38" xfId="9" applyNumberFormat="1" applyFont="1" applyFill="1" applyBorder="1" applyAlignment="1">
      <alignment horizontal="right" vertical="center"/>
    </xf>
    <xf numFmtId="166" fontId="14" fillId="6" borderId="59" xfId="9" applyNumberFormat="1" applyFont="1" applyFill="1" applyBorder="1" applyAlignment="1">
      <alignment horizontal="right" vertical="center"/>
    </xf>
    <xf numFmtId="166" fontId="14" fillId="0" borderId="46" xfId="9" applyNumberFormat="1" applyFont="1" applyBorder="1" applyAlignment="1" applyProtection="1">
      <alignment horizontal="center" vertical="center" wrapText="1"/>
      <protection locked="0"/>
    </xf>
    <xf numFmtId="166" fontId="6" fillId="0" borderId="31" xfId="9" applyNumberFormat="1" applyFont="1" applyBorder="1" applyAlignment="1">
      <alignment horizontal="right" vertical="center" wrapText="1"/>
    </xf>
    <xf numFmtId="166" fontId="6" fillId="0" borderId="17" xfId="9" applyNumberFormat="1" applyFont="1" applyBorder="1" applyAlignment="1">
      <alignment horizontal="right" vertical="center" wrapText="1"/>
    </xf>
    <xf numFmtId="166" fontId="14" fillId="0" borderId="15" xfId="9" applyNumberFormat="1" applyFont="1" applyBorder="1" applyAlignment="1" applyProtection="1">
      <alignment horizontal="center" vertical="center" wrapText="1"/>
      <protection locked="0"/>
    </xf>
    <xf numFmtId="166" fontId="21" fillId="0" borderId="15" xfId="9" applyNumberFormat="1" applyFont="1" applyBorder="1" applyAlignment="1" applyProtection="1">
      <alignment horizontal="center" vertical="center" wrapText="1"/>
      <protection locked="0"/>
    </xf>
    <xf numFmtId="166" fontId="14" fillId="0" borderId="42" xfId="9" applyNumberFormat="1" applyFont="1" applyBorder="1" applyAlignment="1">
      <alignment horizontal="center" vertical="center" wrapText="1"/>
    </xf>
    <xf numFmtId="0" fontId="75" fillId="0" borderId="0" xfId="0" applyFont="1" applyAlignment="1">
      <alignment horizontal="left" vertical="top"/>
    </xf>
    <xf numFmtId="166" fontId="0" fillId="5" borderId="1" xfId="0" applyNumberFormat="1" applyFill="1" applyBorder="1"/>
    <xf numFmtId="166" fontId="0" fillId="5" borderId="32" xfId="0" applyNumberFormat="1" applyFill="1" applyBorder="1"/>
    <xf numFmtId="166" fontId="0" fillId="5" borderId="46" xfId="0" applyNumberFormat="1" applyFill="1" applyBorder="1"/>
    <xf numFmtId="166" fontId="0" fillId="5" borderId="31" xfId="0" applyNumberFormat="1" applyFill="1" applyBorder="1"/>
    <xf numFmtId="166" fontId="0" fillId="5" borderId="43" xfId="0" applyNumberFormat="1" applyFill="1" applyBorder="1"/>
    <xf numFmtId="166" fontId="0" fillId="5" borderId="3" xfId="0" applyNumberFormat="1" applyFill="1" applyBorder="1"/>
    <xf numFmtId="166" fontId="0" fillId="5" borderId="13" xfId="0" applyNumberFormat="1" applyFill="1" applyBorder="1"/>
    <xf numFmtId="166" fontId="0" fillId="5" borderId="15" xfId="0" applyNumberFormat="1" applyFill="1" applyBorder="1"/>
    <xf numFmtId="166" fontId="0" fillId="5" borderId="17" xfId="0" applyNumberFormat="1" applyFill="1" applyBorder="1"/>
    <xf numFmtId="166" fontId="0" fillId="5" borderId="14" xfId="0" applyNumberFormat="1" applyFill="1" applyBorder="1"/>
    <xf numFmtId="166" fontId="0" fillId="5" borderId="30" xfId="0" applyNumberFormat="1" applyFill="1" applyBorder="1"/>
    <xf numFmtId="166" fontId="0" fillId="5" borderId="16" xfId="0" applyNumberFormat="1" applyFill="1" applyBorder="1"/>
    <xf numFmtId="166" fontId="0" fillId="5" borderId="42" xfId="0" applyNumberFormat="1" applyFill="1" applyBorder="1"/>
    <xf numFmtId="166" fontId="0" fillId="5" borderId="28" xfId="0" applyNumberFormat="1" applyFill="1" applyBorder="1"/>
    <xf numFmtId="166" fontId="14" fillId="5" borderId="31" xfId="9" applyNumberFormat="1" applyFont="1" applyFill="1" applyBorder="1" applyAlignment="1">
      <alignment horizontal="right" vertical="center" wrapText="1"/>
    </xf>
    <xf numFmtId="166" fontId="14" fillId="5" borderId="32" xfId="9" applyNumberFormat="1" applyFont="1" applyFill="1" applyBorder="1" applyAlignment="1">
      <alignment horizontal="right" vertical="center" wrapText="1"/>
    </xf>
    <xf numFmtId="166" fontId="14" fillId="5" borderId="17" xfId="9" applyNumberFormat="1" applyFont="1" applyFill="1" applyBorder="1" applyAlignment="1">
      <alignment horizontal="right" vertical="center" wrapText="1"/>
    </xf>
    <xf numFmtId="166" fontId="14" fillId="5" borderId="13" xfId="9" applyNumberFormat="1" applyFont="1" applyFill="1" applyBorder="1" applyAlignment="1">
      <alignment horizontal="right" vertical="center" wrapText="1"/>
    </xf>
    <xf numFmtId="166" fontId="58" fillId="5" borderId="3" xfId="0" applyNumberFormat="1" applyFont="1" applyFill="1" applyBorder="1"/>
    <xf numFmtId="166" fontId="58" fillId="5" borderId="13" xfId="0" applyNumberFormat="1" applyFont="1" applyFill="1" applyBorder="1"/>
    <xf numFmtId="166" fontId="21" fillId="5" borderId="17" xfId="9" applyNumberFormat="1" applyFont="1" applyFill="1" applyBorder="1" applyAlignment="1">
      <alignment horizontal="right" vertical="center" wrapText="1"/>
    </xf>
    <xf numFmtId="166" fontId="21" fillId="5" borderId="13" xfId="9" applyNumberFormat="1" applyFont="1" applyFill="1" applyBorder="1" applyAlignment="1">
      <alignment horizontal="right" vertical="center" wrapText="1"/>
    </xf>
    <xf numFmtId="166" fontId="14" fillId="5" borderId="42" xfId="9" applyNumberFormat="1" applyFont="1" applyFill="1" applyBorder="1" applyAlignment="1">
      <alignment horizontal="right" vertical="center" wrapText="1"/>
    </xf>
    <xf numFmtId="166" fontId="14" fillId="5" borderId="26" xfId="9" applyNumberFormat="1" applyFont="1" applyFill="1" applyBorder="1" applyAlignment="1">
      <alignment horizontal="right" vertical="center" wrapText="1"/>
    </xf>
    <xf numFmtId="166" fontId="14" fillId="5" borderId="16" xfId="9" applyNumberFormat="1" applyFont="1" applyFill="1" applyBorder="1" applyAlignment="1">
      <alignment horizontal="right" vertical="center" wrapText="1"/>
    </xf>
    <xf numFmtId="3" fontId="0" fillId="0" borderId="0" xfId="0" applyNumberFormat="1"/>
    <xf numFmtId="0" fontId="14" fillId="0" borderId="0" xfId="10" applyFont="1" applyAlignment="1">
      <alignment vertical="center" wrapText="1"/>
    </xf>
    <xf numFmtId="0" fontId="76" fillId="0" borderId="0" xfId="10" applyFont="1" applyAlignment="1">
      <alignment horizontal="right" vertical="center" wrapText="1"/>
    </xf>
    <xf numFmtId="0" fontId="6" fillId="6" borderId="37" xfId="9" applyFont="1" applyFill="1" applyBorder="1" applyAlignment="1">
      <alignment horizontal="center" vertical="center"/>
    </xf>
    <xf numFmtId="0" fontId="8" fillId="6" borderId="43" xfId="12" applyFont="1" applyFill="1" applyBorder="1" applyAlignment="1">
      <alignment horizontal="left" vertical="center"/>
    </xf>
    <xf numFmtId="0" fontId="6" fillId="6" borderId="35" xfId="9" applyFont="1" applyFill="1" applyBorder="1" applyAlignment="1">
      <alignment vertical="center"/>
    </xf>
    <xf numFmtId="3" fontId="8" fillId="6" borderId="2" xfId="9" applyNumberFormat="1" applyFont="1" applyFill="1" applyBorder="1" applyAlignment="1">
      <alignment vertical="center"/>
    </xf>
    <xf numFmtId="0" fontId="6" fillId="0" borderId="11" xfId="9" applyFont="1" applyBorder="1" applyAlignment="1">
      <alignment horizontal="center" vertical="center"/>
    </xf>
    <xf numFmtId="0" fontId="6" fillId="0" borderId="32" xfId="9" applyFont="1" applyBorder="1" applyAlignment="1">
      <alignment horizontal="center" vertical="center"/>
    </xf>
    <xf numFmtId="0" fontId="6" fillId="2" borderId="32" xfId="9" applyFont="1" applyFill="1" applyBorder="1" applyAlignment="1">
      <alignment horizontal="center" vertical="center"/>
    </xf>
    <xf numFmtId="0" fontId="6" fillId="2" borderId="94" xfId="9" applyFont="1" applyFill="1" applyBorder="1" applyAlignment="1">
      <alignment horizontal="center" vertical="center"/>
    </xf>
    <xf numFmtId="0" fontId="6" fillId="2" borderId="2" xfId="9" applyFont="1" applyFill="1" applyBorder="1" applyAlignment="1">
      <alignment horizontal="center" vertical="center" wrapText="1"/>
    </xf>
    <xf numFmtId="0" fontId="6" fillId="0" borderId="8" xfId="9" applyFont="1" applyBorder="1" applyAlignment="1">
      <alignment horizontal="center" vertical="center" wrapText="1"/>
    </xf>
    <xf numFmtId="0" fontId="6" fillId="2" borderId="95" xfId="9" applyFont="1" applyFill="1" applyBorder="1" applyAlignment="1">
      <alignment horizontal="center" vertical="center"/>
    </xf>
    <xf numFmtId="0" fontId="6" fillId="2" borderId="37" xfId="9" applyFont="1" applyFill="1" applyBorder="1" applyAlignment="1">
      <alignment horizontal="center" vertical="center" wrapText="1"/>
    </xf>
    <xf numFmtId="0" fontId="6" fillId="0" borderId="96" xfId="9" applyFont="1" applyBorder="1" applyAlignment="1">
      <alignment horizontal="center" vertical="center" wrapText="1"/>
    </xf>
    <xf numFmtId="3" fontId="8" fillId="6" borderId="37" xfId="9" applyNumberFormat="1" applyFont="1" applyFill="1" applyBorder="1" applyAlignment="1">
      <alignment vertical="center"/>
    </xf>
    <xf numFmtId="3" fontId="6" fillId="8" borderId="50" xfId="9" applyNumberFormat="1" applyFont="1" applyFill="1" applyBorder="1" applyAlignment="1">
      <alignment vertical="center"/>
    </xf>
    <xf numFmtId="3" fontId="6" fillId="8" borderId="53" xfId="9" applyNumberFormat="1" applyFont="1" applyFill="1" applyBorder="1" applyAlignment="1">
      <alignment vertical="center"/>
    </xf>
    <xf numFmtId="3" fontId="6" fillId="8" borderId="56" xfId="9" applyNumberFormat="1" applyFont="1" applyFill="1" applyBorder="1" applyAlignment="1">
      <alignment vertical="center"/>
    </xf>
    <xf numFmtId="3" fontId="8" fillId="6" borderId="43" xfId="9" applyNumberFormat="1" applyFont="1" applyFill="1" applyBorder="1" applyAlignment="1">
      <alignment vertical="center"/>
    </xf>
    <xf numFmtId="3" fontId="6" fillId="8" borderId="51" xfId="9" applyNumberFormat="1" applyFont="1" applyFill="1" applyBorder="1" applyAlignment="1">
      <alignment vertical="center"/>
    </xf>
    <xf numFmtId="3" fontId="6" fillId="8" borderId="97" xfId="9" applyNumberFormat="1" applyFont="1" applyFill="1" applyBorder="1" applyAlignment="1">
      <alignment vertical="center"/>
    </xf>
    <xf numFmtId="167" fontId="6" fillId="2" borderId="54" xfId="9" applyNumberFormat="1" applyFont="1" applyFill="1" applyBorder="1" applyAlignment="1">
      <alignment horizontal="center" vertical="center"/>
    </xf>
    <xf numFmtId="3" fontId="6" fillId="8" borderId="57" xfId="9" applyNumberFormat="1" applyFont="1" applyFill="1" applyBorder="1" applyAlignment="1">
      <alignment vertical="center"/>
    </xf>
    <xf numFmtId="0" fontId="6" fillId="0" borderId="10" xfId="9" applyFont="1" applyBorder="1" applyAlignment="1">
      <alignment horizontal="center" vertical="center"/>
    </xf>
    <xf numFmtId="3" fontId="8" fillId="0" borderId="20" xfId="9" applyNumberFormat="1" applyFont="1" applyBorder="1" applyAlignment="1" applyProtection="1">
      <alignment vertical="center"/>
      <protection locked="0"/>
    </xf>
    <xf numFmtId="0" fontId="8" fillId="0" borderId="19" xfId="9" applyFont="1" applyBorder="1" applyAlignment="1">
      <alignment vertical="center"/>
    </xf>
    <xf numFmtId="3" fontId="8" fillId="0" borderId="20" xfId="9" applyNumberFormat="1" applyFont="1" applyBorder="1" applyAlignment="1">
      <alignment vertical="center"/>
    </xf>
    <xf numFmtId="3" fontId="8" fillId="0" borderId="7" xfId="9" applyNumberFormat="1" applyFont="1" applyBorder="1" applyAlignment="1" applyProtection="1">
      <alignment vertical="center"/>
      <protection locked="0"/>
    </xf>
    <xf numFmtId="3" fontId="8" fillId="0" borderId="7" xfId="9" applyNumberFormat="1" applyFont="1" applyBorder="1" applyAlignment="1" applyProtection="1">
      <alignment vertical="center"/>
      <protection hidden="1"/>
    </xf>
    <xf numFmtId="0" fontId="13" fillId="0" borderId="19" xfId="9" applyFont="1" applyBorder="1" applyAlignment="1">
      <alignment horizontal="left" vertical="center" wrapText="1"/>
    </xf>
    <xf numFmtId="3" fontId="13" fillId="0" borderId="20" xfId="9" applyNumberFormat="1" applyFont="1" applyBorder="1" applyAlignment="1" applyProtection="1">
      <alignment horizontal="right" vertical="center" wrapText="1"/>
      <protection hidden="1"/>
    </xf>
    <xf numFmtId="0" fontId="13" fillId="0" borderId="16" xfId="9" applyFont="1" applyBorder="1" applyAlignment="1">
      <alignment horizontal="left" vertical="center" wrapText="1"/>
    </xf>
    <xf numFmtId="3" fontId="13" fillId="0" borderId="23" xfId="9" applyNumberFormat="1" applyFont="1" applyBorder="1" applyAlignment="1" applyProtection="1">
      <alignment horizontal="right" vertical="center" wrapText="1"/>
      <protection locked="0"/>
    </xf>
    <xf numFmtId="3" fontId="8" fillId="0" borderId="20" xfId="9" applyNumberFormat="1" applyFont="1" applyBorder="1" applyAlignment="1" applyProtection="1">
      <alignment vertical="center"/>
      <protection hidden="1"/>
    </xf>
    <xf numFmtId="3" fontId="8" fillId="0" borderId="46" xfId="9" applyNumberFormat="1" applyFont="1" applyBorder="1" applyAlignment="1" applyProtection="1">
      <alignment vertical="center"/>
      <protection locked="0"/>
    </xf>
    <xf numFmtId="3" fontId="8" fillId="0" borderId="19" xfId="9" applyNumberFormat="1" applyFont="1" applyBorder="1" applyAlignment="1">
      <alignment horizontal="right" vertical="center" wrapText="1"/>
    </xf>
    <xf numFmtId="3" fontId="8" fillId="0" borderId="19" xfId="9" applyNumberFormat="1" applyFont="1" applyBorder="1" applyAlignment="1">
      <alignment vertical="center"/>
    </xf>
    <xf numFmtId="3" fontId="8" fillId="0" borderId="7" xfId="9" applyNumberFormat="1" applyFont="1" applyBorder="1" applyAlignment="1">
      <alignment vertical="center"/>
    </xf>
    <xf numFmtId="0" fontId="8" fillId="0" borderId="18" xfId="9" applyFont="1" applyBorder="1" applyAlignment="1">
      <alignment vertical="center"/>
    </xf>
    <xf numFmtId="0" fontId="8" fillId="0" borderId="5" xfId="9" applyFont="1" applyBorder="1" applyAlignment="1">
      <alignment vertical="center"/>
    </xf>
    <xf numFmtId="3" fontId="73" fillId="0" borderId="0" xfId="10" applyNumberFormat="1" applyFont="1" applyAlignment="1">
      <alignment horizontal="center" vertical="center"/>
    </xf>
    <xf numFmtId="3" fontId="73" fillId="0" borderId="0" xfId="10" applyNumberFormat="1" applyFont="1" applyAlignment="1">
      <alignment vertical="center"/>
    </xf>
    <xf numFmtId="169" fontId="6" fillId="0" borderId="0" xfId="14" applyNumberFormat="1" applyFont="1" applyAlignment="1">
      <alignment vertical="center"/>
    </xf>
    <xf numFmtId="0" fontId="6" fillId="0" borderId="0" xfId="10" applyFont="1" applyAlignment="1" applyProtection="1">
      <alignment vertical="center"/>
      <protection locked="0"/>
    </xf>
    <xf numFmtId="3" fontId="61" fillId="10" borderId="98" xfId="9" applyNumberFormat="1" applyFont="1" applyFill="1" applyBorder="1" applyAlignment="1">
      <alignment horizontal="right" vertical="center"/>
    </xf>
    <xf numFmtId="3" fontId="61" fillId="10" borderId="99" xfId="9" applyNumberFormat="1" applyFont="1" applyFill="1" applyBorder="1" applyAlignment="1">
      <alignment horizontal="right" vertical="center"/>
    </xf>
    <xf numFmtId="3" fontId="61" fillId="10" borderId="78" xfId="9" applyNumberFormat="1" applyFont="1" applyFill="1" applyBorder="1" applyAlignment="1">
      <alignment horizontal="right" vertical="center"/>
    </xf>
    <xf numFmtId="3" fontId="61" fillId="10" borderId="100" xfId="9" applyNumberFormat="1" applyFont="1" applyFill="1" applyBorder="1" applyAlignment="1">
      <alignment horizontal="right" vertical="center"/>
    </xf>
    <xf numFmtId="3" fontId="61" fillId="10" borderId="101" xfId="9" applyNumberFormat="1" applyFont="1" applyFill="1" applyBorder="1" applyAlignment="1">
      <alignment horizontal="right" vertical="center"/>
    </xf>
    <xf numFmtId="3" fontId="61" fillId="7" borderId="102" xfId="9" applyNumberFormat="1" applyFont="1" applyFill="1" applyBorder="1" applyAlignment="1">
      <alignment horizontal="right" vertical="center"/>
    </xf>
    <xf numFmtId="3" fontId="61" fillId="7" borderId="103" xfId="9" applyNumberFormat="1" applyFont="1" applyFill="1" applyBorder="1" applyAlignment="1">
      <alignment horizontal="right" vertical="center"/>
    </xf>
    <xf numFmtId="3" fontId="61" fillId="7" borderId="80" xfId="9" applyNumberFormat="1" applyFont="1" applyFill="1" applyBorder="1" applyAlignment="1">
      <alignment horizontal="right" vertical="center"/>
    </xf>
    <xf numFmtId="3" fontId="61" fillId="7" borderId="104" xfId="9" applyNumberFormat="1" applyFont="1" applyFill="1" applyBorder="1" applyAlignment="1">
      <alignment horizontal="right" vertical="center"/>
    </xf>
    <xf numFmtId="3" fontId="61" fillId="7" borderId="105" xfId="9" applyNumberFormat="1" applyFont="1" applyFill="1" applyBorder="1" applyAlignment="1">
      <alignment horizontal="right" vertical="center"/>
    </xf>
    <xf numFmtId="3" fontId="61" fillId="0" borderId="0" xfId="9" applyNumberFormat="1" applyFont="1" applyAlignment="1">
      <alignment vertical="center"/>
    </xf>
    <xf numFmtId="3" fontId="61" fillId="8" borderId="102" xfId="9" applyNumberFormat="1" applyFont="1" applyFill="1" applyBorder="1" applyAlignment="1">
      <alignment horizontal="right" vertical="center"/>
    </xf>
    <xf numFmtId="3" fontId="61" fillId="8" borderId="103" xfId="9" applyNumberFormat="1" applyFont="1" applyFill="1" applyBorder="1" applyAlignment="1">
      <alignment horizontal="right" vertical="center"/>
    </xf>
    <xf numFmtId="3" fontId="61" fillId="8" borderId="80" xfId="9" applyNumberFormat="1" applyFont="1" applyFill="1" applyBorder="1" applyAlignment="1">
      <alignment horizontal="right" vertical="center"/>
    </xf>
    <xf numFmtId="3" fontId="61" fillId="8" borderId="104" xfId="9" applyNumberFormat="1" applyFont="1" applyFill="1" applyBorder="1" applyAlignment="1">
      <alignment horizontal="right" vertical="center"/>
    </xf>
    <xf numFmtId="3" fontId="61" fillId="8" borderId="105" xfId="9" applyNumberFormat="1" applyFont="1" applyFill="1" applyBorder="1" applyAlignment="1">
      <alignment horizontal="right" vertical="center"/>
    </xf>
    <xf numFmtId="3" fontId="61" fillId="11" borderId="102" xfId="9" applyNumberFormat="1" applyFont="1" applyFill="1" applyBorder="1" applyAlignment="1">
      <alignment horizontal="right" vertical="center"/>
    </xf>
    <xf numFmtId="3" fontId="61" fillId="11" borderId="103" xfId="9" applyNumberFormat="1" applyFont="1" applyFill="1" applyBorder="1" applyAlignment="1">
      <alignment horizontal="right" vertical="center"/>
    </xf>
    <xf numFmtId="3" fontId="61" fillId="11" borderId="80" xfId="9" applyNumberFormat="1" applyFont="1" applyFill="1" applyBorder="1" applyAlignment="1">
      <alignment horizontal="right" vertical="center"/>
    </xf>
    <xf numFmtId="3" fontId="61" fillId="11" borderId="104" xfId="9" applyNumberFormat="1" applyFont="1" applyFill="1" applyBorder="1" applyAlignment="1">
      <alignment horizontal="right" vertical="center"/>
    </xf>
    <xf numFmtId="3" fontId="61" fillId="11" borderId="105" xfId="9" applyNumberFormat="1" applyFont="1" applyFill="1" applyBorder="1" applyAlignment="1">
      <alignment horizontal="right" vertical="center"/>
    </xf>
    <xf numFmtId="3" fontId="61" fillId="10" borderId="102" xfId="9" applyNumberFormat="1" applyFont="1" applyFill="1" applyBorder="1" applyAlignment="1">
      <alignment horizontal="right" vertical="center"/>
    </xf>
    <xf numFmtId="3" fontId="61" fillId="10" borderId="103" xfId="9" applyNumberFormat="1" applyFont="1" applyFill="1" applyBorder="1" applyAlignment="1">
      <alignment horizontal="right" vertical="center"/>
    </xf>
    <xf numFmtId="3" fontId="61" fillId="10" borderId="80" xfId="9" applyNumberFormat="1" applyFont="1" applyFill="1" applyBorder="1" applyAlignment="1">
      <alignment horizontal="right" vertical="center"/>
    </xf>
    <xf numFmtId="3" fontId="61" fillId="10" borderId="104" xfId="9" applyNumberFormat="1" applyFont="1" applyFill="1" applyBorder="1" applyAlignment="1">
      <alignment horizontal="right" vertical="center"/>
    </xf>
    <xf numFmtId="3" fontId="61" fillId="10" borderId="105" xfId="9" applyNumberFormat="1" applyFont="1" applyFill="1" applyBorder="1" applyAlignment="1">
      <alignment horizontal="right" vertical="center"/>
    </xf>
    <xf numFmtId="0" fontId="12" fillId="0" borderId="30" xfId="0" applyFont="1" applyBorder="1" applyAlignment="1">
      <alignment horizontal="center" vertical="center" wrapText="1" shrinkToFit="1"/>
    </xf>
    <xf numFmtId="0" fontId="13" fillId="3" borderId="94" xfId="0" applyFont="1" applyFill="1" applyBorder="1" applyAlignment="1">
      <alignment horizontal="center" vertical="center"/>
    </xf>
    <xf numFmtId="3" fontId="13" fillId="0" borderId="0" xfId="0" applyNumberFormat="1" applyFont="1" applyAlignment="1" applyProtection="1">
      <alignment horizontal="right" vertical="center"/>
      <protection locked="0"/>
    </xf>
    <xf numFmtId="3" fontId="12" fillId="0" borderId="0" xfId="0" applyNumberFormat="1" applyFont="1" applyAlignment="1" applyProtection="1">
      <alignment horizontal="right" vertical="center"/>
      <protection locked="0"/>
    </xf>
    <xf numFmtId="3" fontId="0" fillId="0" borderId="0" xfId="0" applyNumberFormat="1" applyAlignment="1">
      <alignment horizontal="right" vertical="center"/>
    </xf>
    <xf numFmtId="3" fontId="12" fillId="0" borderId="0" xfId="0" applyNumberFormat="1" applyFont="1" applyAlignment="1">
      <alignment horizontal="right" vertical="center"/>
    </xf>
    <xf numFmtId="3" fontId="13" fillId="0" borderId="0" xfId="0" applyNumberFormat="1" applyFont="1" applyAlignment="1">
      <alignment horizontal="right" vertical="center"/>
    </xf>
    <xf numFmtId="3" fontId="0" fillId="0" borderId="0" xfId="0" applyNumberFormat="1" applyAlignment="1">
      <alignment vertical="center"/>
    </xf>
    <xf numFmtId="0" fontId="20" fillId="3" borderId="106" xfId="0" applyFont="1" applyFill="1" applyBorder="1" applyAlignment="1">
      <alignment horizontal="left" vertical="center"/>
    </xf>
    <xf numFmtId="0" fontId="1" fillId="3" borderId="7" xfId="0" applyFont="1" applyFill="1" applyBorder="1" applyAlignment="1">
      <alignment vertical="center"/>
    </xf>
    <xf numFmtId="0" fontId="50" fillId="0" borderId="0" xfId="0" applyFont="1" applyAlignment="1">
      <alignment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wrapText="1" shrinkToFit="1"/>
    </xf>
    <xf numFmtId="3" fontId="8" fillId="9" borderId="22" xfId="9" applyNumberFormat="1" applyFont="1" applyFill="1" applyBorder="1" applyAlignment="1">
      <alignment horizontal="right" vertical="center"/>
    </xf>
    <xf numFmtId="3" fontId="8" fillId="9" borderId="28" xfId="9" applyNumberFormat="1" applyFont="1" applyFill="1" applyBorder="1" applyAlignment="1">
      <alignment horizontal="right" vertical="center"/>
    </xf>
    <xf numFmtId="3" fontId="8" fillId="9" borderId="23" xfId="9" applyNumberFormat="1" applyFont="1" applyFill="1" applyBorder="1" applyAlignment="1">
      <alignment horizontal="right" vertical="center"/>
    </xf>
    <xf numFmtId="3" fontId="8" fillId="9" borderId="17" xfId="9" applyNumberFormat="1" applyFont="1" applyFill="1" applyBorder="1" applyAlignment="1">
      <alignment horizontal="right" vertical="center"/>
    </xf>
    <xf numFmtId="3" fontId="8" fillId="9" borderId="13" xfId="9" applyNumberFormat="1" applyFont="1" applyFill="1" applyBorder="1" applyAlignment="1">
      <alignment horizontal="right" vertical="center"/>
    </xf>
    <xf numFmtId="3" fontId="8" fillId="9" borderId="4" xfId="9" applyNumberFormat="1" applyFont="1" applyFill="1" applyBorder="1" applyAlignment="1">
      <alignment horizontal="right" vertical="center"/>
    </xf>
    <xf numFmtId="3" fontId="8" fillId="9" borderId="3" xfId="9" applyNumberFormat="1" applyFont="1" applyFill="1" applyBorder="1" applyAlignment="1">
      <alignment horizontal="right" vertical="center"/>
    </xf>
    <xf numFmtId="3" fontId="8" fillId="9" borderId="15" xfId="9" applyNumberFormat="1" applyFont="1" applyFill="1" applyBorder="1" applyAlignment="1">
      <alignment horizontal="right" vertical="center"/>
    </xf>
    <xf numFmtId="3" fontId="6" fillId="4" borderId="13" xfId="9" applyNumberFormat="1" applyFont="1" applyFill="1" applyBorder="1" applyAlignment="1">
      <alignment horizontal="right" vertical="center"/>
    </xf>
    <xf numFmtId="3" fontId="6" fillId="6" borderId="3" xfId="9" applyNumberFormat="1" applyFont="1" applyFill="1" applyBorder="1" applyAlignment="1">
      <alignment horizontal="right" vertical="center"/>
    </xf>
    <xf numFmtId="3" fontId="12" fillId="0" borderId="13" xfId="0" applyNumberFormat="1" applyFont="1" applyBorder="1" applyAlignment="1" applyProtection="1">
      <alignment horizontal="right" vertical="center"/>
      <protection locked="0"/>
    </xf>
    <xf numFmtId="3" fontId="12" fillId="0" borderId="3" xfId="0" applyNumberFormat="1" applyFont="1" applyBorder="1" applyAlignment="1" applyProtection="1">
      <alignment horizontal="right" vertical="center"/>
      <protection locked="0"/>
    </xf>
    <xf numFmtId="3" fontId="12" fillId="0" borderId="23" xfId="13" applyNumberFormat="1" applyFont="1" applyBorder="1" applyAlignment="1" applyProtection="1">
      <alignment horizontal="left" vertical="center" wrapText="1"/>
      <protection locked="0"/>
    </xf>
    <xf numFmtId="3" fontId="12" fillId="0" borderId="28" xfId="13" applyNumberFormat="1" applyFont="1" applyBorder="1" applyAlignment="1" applyProtection="1">
      <alignment horizontal="right" vertical="center"/>
      <protection locked="0"/>
    </xf>
    <xf numFmtId="3" fontId="12" fillId="0" borderId="22" xfId="13" applyNumberFormat="1" applyFont="1" applyBorder="1" applyAlignment="1" applyProtection="1">
      <alignment horizontal="right" vertical="center"/>
      <protection locked="0"/>
    </xf>
    <xf numFmtId="0" fontId="12" fillId="0" borderId="0" xfId="13" applyFont="1" applyAlignment="1" applyProtection="1">
      <alignment vertical="center"/>
      <protection locked="0"/>
    </xf>
    <xf numFmtId="3" fontId="12" fillId="0" borderId="46" xfId="13" applyNumberFormat="1" applyFont="1" applyBorder="1" applyAlignment="1" applyProtection="1">
      <alignment horizontal="left" vertical="center" wrapText="1"/>
      <protection locked="0"/>
    </xf>
    <xf numFmtId="3" fontId="12" fillId="0" borderId="1" xfId="13" applyNumberFormat="1" applyFont="1" applyBorder="1" applyAlignment="1" applyProtection="1">
      <alignment horizontal="right" vertical="center"/>
      <protection locked="0"/>
    </xf>
    <xf numFmtId="3" fontId="12" fillId="0" borderId="32" xfId="13" applyNumberFormat="1" applyFont="1" applyBorder="1" applyAlignment="1" applyProtection="1">
      <alignment horizontal="right" vertical="center"/>
      <protection locked="0"/>
    </xf>
    <xf numFmtId="3" fontId="6" fillId="0" borderId="3" xfId="13" applyNumberFormat="1" applyFont="1" applyBorder="1" applyAlignment="1" applyProtection="1">
      <alignment horizontal="right" vertical="center"/>
      <protection locked="0"/>
    </xf>
    <xf numFmtId="3" fontId="6" fillId="0" borderId="13" xfId="13" applyNumberFormat="1" applyFont="1" applyBorder="1" applyAlignment="1" applyProtection="1">
      <alignment horizontal="right" vertical="center"/>
      <protection locked="0"/>
    </xf>
    <xf numFmtId="3" fontId="6" fillId="0" borderId="15" xfId="13" applyNumberFormat="1" applyFont="1" applyBorder="1" applyAlignment="1" applyProtection="1">
      <alignment horizontal="left" vertical="center" wrapText="1"/>
      <protection locked="0"/>
    </xf>
    <xf numFmtId="3" fontId="6" fillId="0" borderId="59" xfId="13" applyNumberFormat="1" applyFont="1" applyBorder="1" applyAlignment="1" applyProtection="1">
      <alignment horizontal="left" vertical="center" wrapText="1"/>
      <protection locked="0"/>
    </xf>
    <xf numFmtId="3" fontId="6" fillId="0" borderId="38" xfId="13" applyNumberFormat="1" applyFont="1" applyBorder="1" applyAlignment="1" applyProtection="1">
      <alignment horizontal="right" vertical="center"/>
      <protection locked="0"/>
    </xf>
    <xf numFmtId="3" fontId="6" fillId="0" borderId="40" xfId="13" applyNumberFormat="1" applyFont="1" applyBorder="1" applyAlignment="1" applyProtection="1">
      <alignment horizontal="right" vertical="center"/>
      <protection locked="0"/>
    </xf>
    <xf numFmtId="3" fontId="6" fillId="0" borderId="44" xfId="13" applyNumberFormat="1" applyFont="1" applyBorder="1" applyAlignment="1" applyProtection="1">
      <alignment horizontal="left" vertical="center" wrapText="1"/>
      <protection locked="0"/>
    </xf>
    <xf numFmtId="0" fontId="8" fillId="0" borderId="0" xfId="13" applyFont="1" applyAlignment="1" applyProtection="1">
      <alignment vertical="center"/>
      <protection locked="0"/>
    </xf>
    <xf numFmtId="3" fontId="6" fillId="4" borderId="40" xfId="9" applyNumberFormat="1" applyFont="1" applyFill="1" applyBorder="1" applyAlignment="1">
      <alignment horizontal="right" vertical="center"/>
    </xf>
    <xf numFmtId="3" fontId="6" fillId="4" borderId="59" xfId="9" applyNumberFormat="1" applyFont="1" applyFill="1" applyBorder="1" applyAlignment="1">
      <alignment horizontal="right" vertical="center"/>
    </xf>
    <xf numFmtId="178" fontId="0" fillId="0" borderId="0" xfId="0" applyNumberFormat="1"/>
    <xf numFmtId="3" fontId="6" fillId="4" borderId="15" xfId="9" applyNumberFormat="1" applyFont="1" applyFill="1" applyBorder="1" applyAlignment="1">
      <alignment horizontal="right" vertical="center"/>
    </xf>
    <xf numFmtId="3" fontId="8" fillId="7" borderId="31" xfId="9" applyNumberFormat="1" applyFont="1" applyFill="1" applyBorder="1" applyAlignment="1">
      <alignment horizontal="right" vertical="center"/>
    </xf>
    <xf numFmtId="3" fontId="8" fillId="7" borderId="17" xfId="9" applyNumberFormat="1" applyFont="1" applyFill="1" applyBorder="1" applyAlignment="1">
      <alignment horizontal="right" vertical="center"/>
    </xf>
    <xf numFmtId="3" fontId="8" fillId="7" borderId="13" xfId="9" applyNumberFormat="1" applyFont="1" applyFill="1" applyBorder="1" applyAlignment="1" applyProtection="1">
      <alignment horizontal="right" vertical="center"/>
      <protection locked="0"/>
    </xf>
    <xf numFmtId="3" fontId="8" fillId="7" borderId="4" xfId="9" applyNumberFormat="1" applyFont="1" applyFill="1" applyBorder="1" applyAlignment="1">
      <alignment horizontal="right" vertical="center"/>
    </xf>
    <xf numFmtId="3" fontId="8" fillId="7" borderId="3" xfId="9" applyNumberFormat="1" applyFont="1" applyFill="1" applyBorder="1" applyAlignment="1">
      <alignment horizontal="right" vertical="center"/>
    </xf>
    <xf numFmtId="3" fontId="6" fillId="4" borderId="63" xfId="9" applyNumberFormat="1" applyFont="1" applyFill="1" applyBorder="1" applyAlignment="1">
      <alignment horizontal="right" vertical="center"/>
    </xf>
    <xf numFmtId="3" fontId="8" fillId="0" borderId="4" xfId="9" applyNumberFormat="1" applyFont="1" applyBorder="1" applyAlignment="1">
      <alignment horizontal="right" vertical="center"/>
    </xf>
    <xf numFmtId="3" fontId="6" fillId="0" borderId="0" xfId="9" applyNumberFormat="1" applyFont="1"/>
    <xf numFmtId="0" fontId="9" fillId="0" borderId="0" xfId="9" applyFont="1" applyProtection="1">
      <protection locked="0"/>
    </xf>
    <xf numFmtId="0" fontId="9" fillId="0" borderId="0" xfId="9" applyFont="1" applyAlignment="1" applyProtection="1">
      <alignment wrapText="1"/>
      <protection locked="0"/>
    </xf>
    <xf numFmtId="3" fontId="8" fillId="0" borderId="7" xfId="9" applyNumberFormat="1" applyFont="1" applyBorder="1" applyAlignment="1" applyProtection="1">
      <alignment horizontal="right" vertical="center"/>
      <protection hidden="1"/>
    </xf>
    <xf numFmtId="175" fontId="6" fillId="0" borderId="0" xfId="9" applyNumberFormat="1" applyFont="1"/>
    <xf numFmtId="166" fontId="0" fillId="0" borderId="31" xfId="0" applyNumberFormat="1" applyBorder="1" applyProtection="1">
      <protection locked="0"/>
    </xf>
    <xf numFmtId="166" fontId="0" fillId="0" borderId="32" xfId="0" applyNumberFormat="1" applyBorder="1" applyProtection="1">
      <protection locked="0"/>
    </xf>
    <xf numFmtId="166" fontId="0" fillId="0" borderId="46" xfId="0" applyNumberFormat="1" applyBorder="1" applyProtection="1">
      <protection locked="0"/>
    </xf>
    <xf numFmtId="166" fontId="0" fillId="0" borderId="43" xfId="0" applyNumberFormat="1" applyBorder="1" applyProtection="1">
      <protection locked="0"/>
    </xf>
    <xf numFmtId="166" fontId="0" fillId="0" borderId="1" xfId="0" applyNumberFormat="1" applyBorder="1" applyProtection="1">
      <protection locked="0"/>
    </xf>
    <xf numFmtId="166" fontId="0" fillId="0" borderId="17" xfId="0" applyNumberFormat="1" applyBorder="1" applyProtection="1">
      <protection locked="0"/>
    </xf>
    <xf numFmtId="166" fontId="0" fillId="0" borderId="13" xfId="0" applyNumberFormat="1" applyBorder="1" applyProtection="1">
      <protection locked="0"/>
    </xf>
    <xf numFmtId="166" fontId="0" fillId="0" borderId="15" xfId="0" applyNumberFormat="1" applyBorder="1" applyProtection="1">
      <protection locked="0"/>
    </xf>
    <xf numFmtId="166" fontId="0" fillId="0" borderId="14" xfId="0" applyNumberFormat="1" applyBorder="1" applyProtection="1">
      <protection locked="0"/>
    </xf>
    <xf numFmtId="166" fontId="0" fillId="0" borderId="3" xfId="0" applyNumberFormat="1" applyBorder="1" applyProtection="1">
      <protection locked="0"/>
    </xf>
    <xf numFmtId="166" fontId="0" fillId="0" borderId="16" xfId="0" applyNumberFormat="1" applyBorder="1"/>
    <xf numFmtId="166" fontId="0" fillId="0" borderId="42" xfId="0" applyNumberFormat="1" applyBorder="1"/>
    <xf numFmtId="166" fontId="0" fillId="0" borderId="17" xfId="0" applyNumberFormat="1" applyBorder="1"/>
    <xf numFmtId="166" fontId="0" fillId="0" borderId="13" xfId="0" applyNumberFormat="1" applyBorder="1"/>
    <xf numFmtId="166" fontId="0" fillId="0" borderId="14" xfId="0" applyNumberFormat="1" applyBorder="1"/>
    <xf numFmtId="166" fontId="0" fillId="0" borderId="30" xfId="0" applyNumberFormat="1" applyBorder="1"/>
    <xf numFmtId="166" fontId="6" fillId="0" borderId="1" xfId="9" applyNumberFormat="1" applyFont="1" applyBorder="1" applyAlignment="1" applyProtection="1">
      <alignment horizontal="right" vertical="center" wrapText="1"/>
      <protection locked="0"/>
    </xf>
    <xf numFmtId="166" fontId="6" fillId="0" borderId="32" xfId="9" applyNumberFormat="1" applyFont="1" applyBorder="1" applyAlignment="1" applyProtection="1">
      <alignment horizontal="right" vertical="center" wrapText="1"/>
      <protection locked="0"/>
    </xf>
    <xf numFmtId="0" fontId="0" fillId="0" borderId="95" xfId="0" applyBorder="1" applyAlignment="1" applyProtection="1">
      <alignment vertical="center"/>
      <protection locked="0"/>
    </xf>
    <xf numFmtId="166" fontId="0" fillId="0" borderId="22" xfId="0" applyNumberFormat="1" applyBorder="1" applyProtection="1">
      <protection locked="0"/>
    </xf>
    <xf numFmtId="0" fontId="0" fillId="0" borderId="3" xfId="0" applyBorder="1" applyAlignment="1" applyProtection="1">
      <alignment vertical="center"/>
      <protection locked="0"/>
    </xf>
    <xf numFmtId="166" fontId="6" fillId="0" borderId="3" xfId="9" applyNumberFormat="1" applyFont="1" applyBorder="1" applyAlignment="1" applyProtection="1">
      <alignment horizontal="right" vertical="center" wrapText="1"/>
      <protection locked="0"/>
    </xf>
    <xf numFmtId="166" fontId="6" fillId="0" borderId="13" xfId="9" applyNumberFormat="1" applyFont="1" applyBorder="1" applyAlignment="1" applyProtection="1">
      <alignment horizontal="right" vertical="center" wrapText="1"/>
      <protection locked="0"/>
    </xf>
    <xf numFmtId="165" fontId="0" fillId="0" borderId="96" xfId="0" applyNumberFormat="1" applyBorder="1" applyAlignment="1">
      <alignment vertical="center"/>
    </xf>
    <xf numFmtId="3" fontId="9" fillId="0" borderId="0" xfId="9" applyNumberFormat="1" applyFont="1" applyAlignment="1" applyProtection="1">
      <alignment vertical="center"/>
      <protection hidden="1"/>
    </xf>
    <xf numFmtId="3" fontId="6" fillId="0" borderId="0" xfId="15" applyNumberFormat="1" applyFont="1" applyAlignment="1">
      <alignment vertical="center"/>
    </xf>
    <xf numFmtId="3" fontId="8" fillId="6" borderId="32" xfId="9" applyNumberFormat="1" applyFont="1" applyFill="1" applyBorder="1" applyAlignment="1">
      <alignment vertical="center"/>
    </xf>
    <xf numFmtId="0" fontId="6" fillId="0" borderId="37" xfId="9" applyFont="1" applyBorder="1" applyAlignment="1">
      <alignment horizontal="center" vertical="center" wrapText="1"/>
    </xf>
    <xf numFmtId="0" fontId="6" fillId="0" borderId="34" xfId="9" applyFont="1" applyBorder="1" applyAlignment="1">
      <alignment horizontal="center" vertical="center" wrapText="1"/>
    </xf>
    <xf numFmtId="0" fontId="6" fillId="0" borderId="109" xfId="9" applyFont="1" applyBorder="1" applyAlignment="1">
      <alignment horizontal="center" vertical="center" wrapText="1"/>
    </xf>
    <xf numFmtId="3" fontId="12" fillId="0" borderId="91" xfId="13" applyNumberFormat="1" applyFont="1" applyBorder="1" applyAlignment="1" applyProtection="1">
      <alignment horizontal="center" vertical="center"/>
      <protection locked="0"/>
    </xf>
    <xf numFmtId="3" fontId="12" fillId="0" borderId="110" xfId="13" applyNumberFormat="1" applyFont="1" applyBorder="1" applyAlignment="1" applyProtection="1">
      <alignment horizontal="center" vertical="center"/>
      <protection locked="0"/>
    </xf>
    <xf numFmtId="3" fontId="6" fillId="0" borderId="111" xfId="13" applyNumberFormat="1" applyFont="1" applyBorder="1" applyAlignment="1" applyProtection="1">
      <alignment horizontal="center" vertical="center"/>
      <protection locked="0"/>
    </xf>
    <xf numFmtId="3" fontId="77" fillId="0" borderId="0" xfId="10" applyNumberFormat="1" applyFont="1" applyAlignment="1">
      <alignment vertical="center"/>
    </xf>
    <xf numFmtId="166" fontId="78" fillId="0" borderId="0" xfId="10" applyNumberFormat="1" applyFont="1" applyAlignment="1">
      <alignment vertical="center"/>
    </xf>
    <xf numFmtId="0" fontId="79" fillId="0" borderId="0" xfId="10" applyFont="1" applyAlignment="1">
      <alignment vertical="center"/>
    </xf>
    <xf numFmtId="0" fontId="73" fillId="0" borderId="0" xfId="10" applyFont="1" applyAlignment="1">
      <alignment vertical="center"/>
    </xf>
    <xf numFmtId="0" fontId="20" fillId="9" borderId="45" xfId="0" applyFont="1" applyFill="1" applyBorder="1" applyAlignment="1">
      <alignment vertical="center"/>
    </xf>
    <xf numFmtId="3" fontId="21" fillId="9" borderId="20" xfId="9" applyNumberFormat="1" applyFont="1" applyFill="1" applyBorder="1" applyAlignment="1">
      <alignment horizontal="right" vertical="center"/>
    </xf>
    <xf numFmtId="0" fontId="60" fillId="0" borderId="0" xfId="0" applyFont="1" applyAlignment="1">
      <alignment horizontal="center"/>
    </xf>
    <xf numFmtId="3" fontId="60" fillId="0" borderId="0" xfId="0" applyNumberFormat="1" applyFont="1" applyAlignment="1">
      <alignment horizontal="center"/>
    </xf>
    <xf numFmtId="0" fontId="80" fillId="0" borderId="0" xfId="0" applyFont="1" applyAlignment="1">
      <alignment horizontal="center"/>
    </xf>
    <xf numFmtId="0" fontId="61" fillId="0" borderId="34" xfId="9" applyFont="1" applyBorder="1" applyAlignment="1" applyProtection="1">
      <alignment horizontal="center" vertical="center"/>
      <protection locked="0"/>
    </xf>
    <xf numFmtId="0" fontId="61" fillId="0" borderId="13" xfId="9" applyFont="1" applyBorder="1" applyAlignment="1" applyProtection="1">
      <alignment horizontal="left" vertical="center" indent="1"/>
      <protection locked="0"/>
    </xf>
    <xf numFmtId="0" fontId="61" fillId="0" borderId="17" xfId="9" applyFont="1" applyBorder="1" applyAlignment="1" applyProtection="1">
      <alignment horizontal="left" vertical="center" indent="1"/>
      <protection locked="0"/>
    </xf>
    <xf numFmtId="3" fontId="6" fillId="0" borderId="15" xfId="9" applyNumberFormat="1" applyFont="1" applyBorder="1" applyAlignment="1" applyProtection="1">
      <alignment horizontal="right" vertical="center" wrapText="1"/>
      <protection hidden="1"/>
    </xf>
    <xf numFmtId="3" fontId="51" fillId="0" borderId="14" xfId="9" applyNumberFormat="1" applyFont="1" applyBorder="1" applyAlignment="1">
      <alignment horizontal="center" vertical="center" wrapText="1"/>
    </xf>
    <xf numFmtId="0" fontId="12" fillId="0" borderId="17" xfId="0" applyFont="1" applyBorder="1" applyAlignment="1">
      <alignment horizontal="center" vertical="center" wrapText="1"/>
    </xf>
    <xf numFmtId="0" fontId="12" fillId="0" borderId="13" xfId="0" applyFont="1" applyBorder="1" applyAlignment="1">
      <alignment horizontal="center" vertical="center" wrapText="1"/>
    </xf>
    <xf numFmtId="169" fontId="6" fillId="0" borderId="0" xfId="14" applyNumberFormat="1" applyFont="1" applyBorder="1" applyAlignment="1">
      <alignment vertical="center"/>
    </xf>
    <xf numFmtId="3" fontId="15" fillId="0" borderId="0" xfId="10" applyNumberFormat="1" applyFont="1" applyAlignment="1">
      <alignment vertical="center"/>
    </xf>
    <xf numFmtId="169" fontId="15" fillId="0" borderId="0" xfId="14" applyNumberFormat="1" applyFont="1" applyBorder="1" applyAlignment="1">
      <alignment vertical="center"/>
    </xf>
    <xf numFmtId="3" fontId="81" fillId="0" borderId="0" xfId="10" applyNumberFormat="1" applyFont="1" applyAlignment="1">
      <alignment vertical="center"/>
    </xf>
    <xf numFmtId="0" fontId="15" fillId="0" borderId="0" xfId="10" applyFont="1" applyAlignment="1">
      <alignment vertical="center"/>
    </xf>
    <xf numFmtId="3" fontId="5" fillId="0" borderId="0" xfId="9" applyNumberFormat="1" applyFont="1" applyAlignment="1">
      <alignment horizontal="right" vertical="center"/>
    </xf>
    <xf numFmtId="0" fontId="10" fillId="0" borderId="112" xfId="9" applyFont="1" applyBorder="1" applyAlignment="1">
      <alignment horizontal="center" vertical="center" wrapText="1"/>
    </xf>
    <xf numFmtId="0" fontId="18" fillId="0" borderId="32" xfId="9" applyFont="1" applyBorder="1" applyAlignment="1">
      <alignment horizontal="center" vertical="center" wrapText="1"/>
    </xf>
    <xf numFmtId="0" fontId="18" fillId="0" borderId="13" xfId="9" applyFont="1" applyBorder="1" applyAlignment="1">
      <alignment horizontal="center" vertical="center" wrapText="1"/>
    </xf>
    <xf numFmtId="0" fontId="6" fillId="0" borderId="9" xfId="9" applyFont="1" applyBorder="1" applyAlignment="1">
      <alignment horizontal="center" vertical="center"/>
    </xf>
    <xf numFmtId="0" fontId="10" fillId="0" borderId="113" xfId="9" applyFont="1" applyBorder="1" applyAlignment="1">
      <alignment horizontal="center" vertical="center"/>
    </xf>
    <xf numFmtId="2" fontId="10" fillId="0" borderId="10" xfId="9" applyNumberFormat="1" applyFont="1" applyBorder="1" applyAlignment="1">
      <alignment horizontal="center" vertical="center" wrapText="1"/>
    </xf>
    <xf numFmtId="0" fontId="31" fillId="6" borderId="41" xfId="9" applyFont="1" applyFill="1" applyBorder="1" applyAlignment="1">
      <alignment vertical="center" readingOrder="1"/>
    </xf>
    <xf numFmtId="0" fontId="7" fillId="6" borderId="7" xfId="9" applyFont="1" applyFill="1" applyBorder="1" applyAlignment="1">
      <alignment vertical="center"/>
    </xf>
    <xf numFmtId="0" fontId="6" fillId="2" borderId="3" xfId="9" applyFont="1" applyFill="1" applyBorder="1" applyAlignment="1">
      <alignment horizontal="center" vertical="center"/>
    </xf>
    <xf numFmtId="0" fontId="18" fillId="0" borderId="0" xfId="9" applyFont="1" applyAlignment="1">
      <alignment horizontal="center" vertical="center"/>
    </xf>
    <xf numFmtId="0" fontId="18" fillId="0" borderId="46" xfId="9" applyFont="1" applyBorder="1" applyAlignment="1">
      <alignment vertical="center" wrapText="1"/>
    </xf>
    <xf numFmtId="0" fontId="6" fillId="0" borderId="114" xfId="9" applyFont="1" applyBorder="1" applyAlignment="1">
      <alignment horizontal="center" vertical="center"/>
    </xf>
    <xf numFmtId="0" fontId="18" fillId="2" borderId="115" xfId="9" applyFont="1" applyFill="1" applyBorder="1" applyAlignment="1">
      <alignment horizontal="center" vertical="center"/>
    </xf>
    <xf numFmtId="0" fontId="18" fillId="0" borderId="116" xfId="9" applyFont="1" applyBorder="1" applyAlignment="1">
      <alignment vertical="center" wrapText="1"/>
    </xf>
    <xf numFmtId="0" fontId="6" fillId="0" borderId="117" xfId="9" applyFont="1" applyBorder="1" applyAlignment="1">
      <alignment horizontal="center" vertical="center"/>
    </xf>
    <xf numFmtId="0" fontId="18" fillId="0" borderId="118" xfId="9" applyFont="1" applyBorder="1" applyAlignment="1">
      <alignment vertical="center" wrapText="1"/>
    </xf>
    <xf numFmtId="0" fontId="18" fillId="2" borderId="12" xfId="9" applyFont="1" applyFill="1" applyBorder="1" applyAlignment="1">
      <alignment vertical="center" wrapText="1"/>
    </xf>
    <xf numFmtId="166" fontId="82" fillId="0" borderId="0" xfId="0" applyNumberFormat="1" applyFont="1"/>
    <xf numFmtId="0" fontId="60" fillId="0" borderId="0" xfId="0" applyFont="1" applyAlignment="1">
      <alignment vertical="center"/>
    </xf>
    <xf numFmtId="166" fontId="18" fillId="6" borderId="46" xfId="9" applyNumberFormat="1" applyFont="1" applyFill="1" applyBorder="1" applyAlignment="1">
      <alignment horizontal="center" vertical="center"/>
    </xf>
    <xf numFmtId="166" fontId="18" fillId="6" borderId="15" xfId="9" applyNumberFormat="1" applyFont="1" applyFill="1" applyBorder="1" applyAlignment="1">
      <alignment horizontal="center" vertical="center"/>
    </xf>
    <xf numFmtId="166" fontId="18" fillId="0" borderId="46" xfId="9" applyNumberFormat="1" applyFont="1" applyBorder="1" applyAlignment="1">
      <alignment horizontal="center" vertical="center"/>
    </xf>
    <xf numFmtId="166" fontId="18" fillId="0" borderId="116" xfId="9" applyNumberFormat="1" applyFont="1" applyBorder="1" applyAlignment="1">
      <alignment horizontal="center" vertical="center"/>
    </xf>
    <xf numFmtId="166" fontId="18" fillId="0" borderId="118" xfId="9" applyNumberFormat="1" applyFont="1" applyBorder="1" applyAlignment="1">
      <alignment horizontal="center" vertical="center"/>
    </xf>
    <xf numFmtId="166" fontId="18" fillId="2" borderId="12" xfId="9" applyNumberFormat="1" applyFont="1" applyFill="1" applyBorder="1" applyAlignment="1">
      <alignment horizontal="center" vertical="center"/>
    </xf>
    <xf numFmtId="0" fontId="83" fillId="0" borderId="0" xfId="0" applyFont="1"/>
    <xf numFmtId="0" fontId="84" fillId="0" borderId="0" xfId="0" applyFont="1"/>
    <xf numFmtId="0" fontId="84" fillId="0" borderId="0" xfId="0" applyFont="1" applyAlignment="1">
      <alignment horizontal="right"/>
    </xf>
    <xf numFmtId="0" fontId="86" fillId="0" borderId="27" xfId="10" applyFont="1" applyBorder="1" applyAlignment="1">
      <alignment vertical="center" wrapText="1"/>
    </xf>
    <xf numFmtId="3" fontId="86" fillId="0" borderId="27" xfId="10" applyNumberFormat="1" applyFont="1" applyBorder="1" applyAlignment="1">
      <alignment horizontal="right" vertical="center" wrapText="1"/>
    </xf>
    <xf numFmtId="3" fontId="86" fillId="0" borderId="28" xfId="10" applyNumberFormat="1" applyFont="1" applyBorder="1" applyAlignment="1">
      <alignment horizontal="right" vertical="center" wrapText="1"/>
    </xf>
    <xf numFmtId="3" fontId="86" fillId="0" borderId="22" xfId="10" applyNumberFormat="1" applyFont="1" applyBorder="1" applyAlignment="1">
      <alignment horizontal="right" vertical="center" wrapText="1"/>
    </xf>
    <xf numFmtId="3" fontId="86" fillId="0" borderId="23" xfId="10" applyNumberFormat="1" applyFont="1" applyBorder="1" applyAlignment="1">
      <alignment horizontal="right" vertical="center" wrapText="1"/>
    </xf>
    <xf numFmtId="0" fontId="85" fillId="0" borderId="24" xfId="10" applyFont="1" applyBorder="1" applyAlignment="1">
      <alignment vertical="center" wrapText="1"/>
    </xf>
    <xf numFmtId="3" fontId="87" fillId="0" borderId="24" xfId="10" applyNumberFormat="1" applyFont="1" applyBorder="1" applyAlignment="1">
      <alignment horizontal="right" vertical="center" wrapText="1"/>
    </xf>
    <xf numFmtId="3" fontId="87" fillId="0" borderId="3" xfId="10" applyNumberFormat="1" applyFont="1" applyBorder="1" applyAlignment="1">
      <alignment horizontal="right" vertical="center" wrapText="1"/>
    </xf>
    <xf numFmtId="3" fontId="87" fillId="0" borderId="13" xfId="10" applyNumberFormat="1" applyFont="1" applyBorder="1" applyAlignment="1">
      <alignment horizontal="right" vertical="center" wrapText="1"/>
    </xf>
    <xf numFmtId="3" fontId="87" fillId="0" borderId="15" xfId="10" applyNumberFormat="1" applyFont="1" applyBorder="1" applyAlignment="1">
      <alignment horizontal="right" vertical="center" wrapText="1"/>
    </xf>
    <xf numFmtId="0" fontId="86" fillId="0" borderId="24" xfId="10" applyFont="1" applyBorder="1" applyAlignment="1">
      <alignment horizontal="left" vertical="center" wrapText="1"/>
    </xf>
    <xf numFmtId="3" fontId="86" fillId="0" borderId="24" xfId="10" applyNumberFormat="1" applyFont="1" applyBorder="1" applyAlignment="1">
      <alignment horizontal="right" vertical="center" wrapText="1"/>
    </xf>
    <xf numFmtId="3" fontId="86" fillId="0" borderId="3" xfId="10" applyNumberFormat="1" applyFont="1" applyBorder="1" applyAlignment="1">
      <alignment horizontal="right" vertical="center" wrapText="1"/>
    </xf>
    <xf numFmtId="3" fontId="86" fillId="0" borderId="13" xfId="10" applyNumberFormat="1" applyFont="1" applyBorder="1" applyAlignment="1">
      <alignment horizontal="right" vertical="center" wrapText="1"/>
    </xf>
    <xf numFmtId="3" fontId="86" fillId="0" borderId="15" xfId="10" applyNumberFormat="1" applyFont="1" applyBorder="1" applyAlignment="1">
      <alignment horizontal="right" vertical="center" wrapText="1"/>
    </xf>
    <xf numFmtId="0" fontId="85" fillId="0" borderId="25" xfId="10" applyFont="1" applyBorder="1" applyAlignment="1">
      <alignment vertical="center" wrapText="1"/>
    </xf>
    <xf numFmtId="3" fontId="87" fillId="0" borderId="25" xfId="10" applyNumberFormat="1" applyFont="1" applyBorder="1" applyAlignment="1">
      <alignment horizontal="right" vertical="center" wrapText="1"/>
    </xf>
    <xf numFmtId="3" fontId="87" fillId="0" borderId="30" xfId="10" applyNumberFormat="1" applyFont="1" applyBorder="1" applyAlignment="1">
      <alignment horizontal="right" vertical="center" wrapText="1"/>
    </xf>
    <xf numFmtId="3" fontId="87" fillId="0" borderId="16" xfId="10" applyNumberFormat="1" applyFont="1" applyBorder="1" applyAlignment="1">
      <alignment horizontal="right" vertical="center" wrapText="1"/>
    </xf>
    <xf numFmtId="3" fontId="87" fillId="0" borderId="42" xfId="10" applyNumberFormat="1" applyFont="1" applyBorder="1" applyAlignment="1">
      <alignment horizontal="right" vertical="center" wrapText="1"/>
    </xf>
    <xf numFmtId="0" fontId="79" fillId="0" borderId="0" xfId="9" applyFont="1" applyAlignment="1" applyProtection="1">
      <alignment vertical="center"/>
      <protection locked="0"/>
    </xf>
    <xf numFmtId="0" fontId="79" fillId="0" borderId="0" xfId="9" applyFont="1" applyAlignment="1">
      <alignment vertical="center"/>
    </xf>
    <xf numFmtId="0" fontId="8" fillId="0" borderId="0" xfId="10" applyFont="1" applyAlignment="1">
      <alignment horizontal="center" vertical="center"/>
    </xf>
    <xf numFmtId="3" fontId="8" fillId="0" borderId="0" xfId="10" applyNumberFormat="1" applyFont="1" applyAlignment="1">
      <alignment vertical="center"/>
    </xf>
    <xf numFmtId="3" fontId="24" fillId="8" borderId="13" xfId="10" applyNumberFormat="1" applyFont="1" applyFill="1" applyBorder="1" applyAlignment="1">
      <alignment horizontal="right" vertical="center"/>
    </xf>
    <xf numFmtId="3" fontId="67" fillId="8" borderId="15" xfId="10" applyNumberFormat="1" applyFont="1" applyFill="1" applyBorder="1" applyAlignment="1">
      <alignment horizontal="right" vertical="center"/>
    </xf>
    <xf numFmtId="0" fontId="88" fillId="0" borderId="0" xfId="0" applyFont="1"/>
    <xf numFmtId="3" fontId="8" fillId="7" borderId="2" xfId="9" applyNumberFormat="1" applyFont="1" applyFill="1" applyBorder="1" applyAlignment="1">
      <alignment horizontal="right" vertical="center"/>
    </xf>
    <xf numFmtId="3" fontId="8" fillId="7" borderId="1" xfId="9" applyNumberFormat="1" applyFont="1" applyFill="1" applyBorder="1" applyAlignment="1">
      <alignment horizontal="right" vertical="center"/>
    </xf>
    <xf numFmtId="0" fontId="13" fillId="3" borderId="28" xfId="0" applyFont="1" applyFill="1" applyBorder="1" applyAlignment="1">
      <alignment horizontal="center" vertical="center"/>
    </xf>
    <xf numFmtId="0" fontId="13" fillId="9" borderId="28" xfId="0" applyFont="1" applyFill="1" applyBorder="1" applyAlignment="1">
      <alignment horizontal="center" vertical="center"/>
    </xf>
    <xf numFmtId="0" fontId="13" fillId="2" borderId="3" xfId="0" applyFont="1" applyFill="1" applyBorder="1" applyAlignment="1">
      <alignment horizontal="center" vertical="center"/>
    </xf>
    <xf numFmtId="0" fontId="13" fillId="0" borderId="3" xfId="0" applyFont="1" applyBorder="1" applyAlignment="1">
      <alignment horizontal="center" vertical="center"/>
    </xf>
    <xf numFmtId="0" fontId="13" fillId="9" borderId="5" xfId="0" applyFont="1" applyFill="1" applyBorder="1" applyAlignment="1">
      <alignment horizontal="center" vertical="center"/>
    </xf>
    <xf numFmtId="169" fontId="8" fillId="0" borderId="0" xfId="14" applyNumberFormat="1" applyFont="1" applyBorder="1" applyAlignment="1">
      <alignment vertical="center"/>
    </xf>
    <xf numFmtId="10" fontId="6" fillId="0" borderId="0" xfId="14" applyNumberFormat="1" applyFont="1" applyBorder="1" applyAlignment="1">
      <alignment vertical="center"/>
    </xf>
    <xf numFmtId="0" fontId="51" fillId="0" borderId="17" xfId="9" applyFont="1" applyBorder="1" applyAlignment="1" applyProtection="1">
      <alignment horizontal="center" vertical="center"/>
      <protection locked="0"/>
    </xf>
    <xf numFmtId="3" fontId="51" fillId="0" borderId="13" xfId="9" applyNumberFormat="1" applyFont="1" applyBorder="1" applyAlignment="1">
      <alignment horizontal="center" vertical="center" wrapText="1"/>
    </xf>
    <xf numFmtId="169" fontId="79" fillId="0" borderId="0" xfId="14" applyNumberFormat="1" applyFont="1" applyAlignment="1">
      <alignment vertical="center"/>
    </xf>
    <xf numFmtId="3" fontId="81" fillId="0" borderId="0" xfId="9" applyNumberFormat="1" applyFont="1" applyAlignment="1">
      <alignment vertical="center"/>
    </xf>
    <xf numFmtId="3" fontId="89" fillId="0" borderId="0" xfId="9" applyNumberFormat="1" applyFont="1" applyAlignment="1">
      <alignment horizontal="right" vertical="center"/>
    </xf>
    <xf numFmtId="0" fontId="79" fillId="0" borderId="0" xfId="9" applyFont="1" applyAlignment="1">
      <alignment horizontal="left" vertical="top"/>
    </xf>
    <xf numFmtId="3" fontId="9" fillId="0" borderId="0" xfId="9" applyNumberFormat="1" applyFont="1" applyProtection="1">
      <protection locked="0"/>
    </xf>
    <xf numFmtId="0" fontId="54" fillId="0" borderId="0" xfId="9" applyFont="1" applyProtection="1">
      <protection locked="0"/>
    </xf>
    <xf numFmtId="0" fontId="9" fillId="0" borderId="0" xfId="9" applyFont="1" applyAlignment="1" applyProtection="1">
      <alignment horizontal="left" wrapText="1"/>
      <protection locked="0"/>
    </xf>
    <xf numFmtId="3" fontId="9" fillId="0" borderId="0" xfId="9" applyNumberFormat="1" applyFont="1" applyAlignment="1" applyProtection="1">
      <alignment vertical="center"/>
      <protection locked="0"/>
    </xf>
    <xf numFmtId="0" fontId="81" fillId="0" borderId="0" xfId="9" applyFont="1"/>
    <xf numFmtId="0" fontId="12" fillId="0" borderId="0" xfId="0" applyFont="1" applyAlignment="1">
      <alignment horizontal="center" vertical="center" wrapText="1"/>
    </xf>
    <xf numFmtId="0" fontId="12" fillId="0" borderId="122" xfId="0" applyFont="1" applyBorder="1" applyAlignment="1">
      <alignment horizontal="center" vertical="center" wrapText="1" shrinkToFit="1"/>
    </xf>
    <xf numFmtId="0" fontId="12" fillId="0" borderId="42" xfId="0" applyFont="1" applyBorder="1" applyAlignment="1">
      <alignment horizontal="center" vertical="center" wrapText="1" shrinkToFit="1"/>
    </xf>
    <xf numFmtId="3" fontId="8" fillId="7" borderId="36" xfId="9" applyNumberFormat="1" applyFont="1" applyFill="1" applyBorder="1" applyAlignment="1">
      <alignment horizontal="right" vertical="center"/>
    </xf>
    <xf numFmtId="3" fontId="8" fillId="7" borderId="61" xfId="9" applyNumberFormat="1" applyFont="1" applyFill="1" applyBorder="1" applyAlignment="1">
      <alignment horizontal="right" vertical="center"/>
    </xf>
    <xf numFmtId="3" fontId="8" fillId="7" borderId="28" xfId="9" applyNumberFormat="1" applyFont="1" applyFill="1" applyBorder="1" applyAlignment="1">
      <alignment horizontal="right" vertical="center"/>
    </xf>
    <xf numFmtId="3" fontId="6" fillId="9" borderId="13" xfId="9" applyNumberFormat="1" applyFont="1" applyFill="1" applyBorder="1" applyAlignment="1">
      <alignment horizontal="right" vertical="center"/>
    </xf>
    <xf numFmtId="3" fontId="6" fillId="9" borderId="15" xfId="9" applyNumberFormat="1" applyFont="1" applyFill="1" applyBorder="1" applyAlignment="1">
      <alignment horizontal="right" vertical="center"/>
    </xf>
    <xf numFmtId="3" fontId="6" fillId="9" borderId="3" xfId="9" applyNumberFormat="1" applyFont="1" applyFill="1" applyBorder="1" applyAlignment="1">
      <alignment horizontal="right" vertical="center"/>
    </xf>
    <xf numFmtId="3" fontId="6" fillId="9" borderId="4" xfId="9" applyNumberFormat="1" applyFont="1" applyFill="1" applyBorder="1" applyAlignment="1">
      <alignment horizontal="right" vertical="center"/>
    </xf>
    <xf numFmtId="0" fontId="68" fillId="0" borderId="31" xfId="0" applyFont="1" applyBorder="1" applyAlignment="1">
      <alignment horizontal="left" vertical="center"/>
    </xf>
    <xf numFmtId="0" fontId="66" fillId="0" borderId="32" xfId="0" applyFont="1" applyBorder="1" applyAlignment="1">
      <alignment horizontal="right" vertical="center"/>
    </xf>
    <xf numFmtId="3" fontId="6" fillId="0" borderId="39" xfId="9" applyNumberFormat="1" applyFont="1" applyBorder="1" applyAlignment="1" applyProtection="1">
      <alignment horizontal="right" vertical="center"/>
      <protection locked="0"/>
    </xf>
    <xf numFmtId="0" fontId="68" fillId="0" borderId="17" xfId="0" applyFont="1" applyBorder="1" applyAlignment="1">
      <alignment horizontal="left" vertical="center"/>
    </xf>
    <xf numFmtId="0" fontId="66" fillId="0" borderId="13" xfId="0" applyFont="1" applyBorder="1" applyAlignment="1">
      <alignment horizontal="right" vertical="center"/>
    </xf>
    <xf numFmtId="0" fontId="66" fillId="0" borderId="35" xfId="0" applyFont="1" applyBorder="1" applyAlignment="1">
      <alignment horizontal="right" vertical="center"/>
    </xf>
    <xf numFmtId="3" fontId="6" fillId="0" borderId="31" xfId="9" applyNumberFormat="1" applyFont="1" applyBorder="1" applyAlignment="1" applyProtection="1">
      <alignment horizontal="right" vertical="center"/>
      <protection locked="0"/>
    </xf>
    <xf numFmtId="3" fontId="6" fillId="0" borderId="17" xfId="9" applyNumberFormat="1" applyFont="1" applyBorder="1" applyAlignment="1" applyProtection="1">
      <alignment horizontal="right" vertical="center"/>
      <protection locked="0"/>
    </xf>
    <xf numFmtId="3" fontId="6" fillId="9" borderId="17" xfId="9" applyNumberFormat="1" applyFont="1" applyFill="1" applyBorder="1" applyAlignment="1">
      <alignment horizontal="right" vertical="center"/>
    </xf>
    <xf numFmtId="0" fontId="12" fillId="0" borderId="33" xfId="0" applyFont="1" applyBorder="1" applyAlignment="1">
      <alignment horizontal="left" vertical="center"/>
    </xf>
    <xf numFmtId="0" fontId="12" fillId="0" borderId="4" xfId="0" applyFont="1" applyBorder="1" applyAlignment="1">
      <alignment horizontal="left" vertical="center"/>
    </xf>
    <xf numFmtId="0" fontId="12" fillId="0" borderId="123" xfId="0" applyFont="1" applyBorder="1" applyAlignment="1">
      <alignment horizontal="left" vertical="center"/>
    </xf>
    <xf numFmtId="0" fontId="12" fillId="0" borderId="0" xfId="0" applyFont="1" applyAlignment="1">
      <alignment horizontal="center" vertical="center"/>
    </xf>
    <xf numFmtId="3" fontId="6" fillId="6" borderId="17" xfId="9" applyNumberFormat="1" applyFont="1" applyFill="1" applyBorder="1" applyAlignment="1">
      <alignment horizontal="right" vertical="center"/>
    </xf>
    <xf numFmtId="3" fontId="6" fillId="6" borderId="4" xfId="9" applyNumberFormat="1" applyFont="1" applyFill="1" applyBorder="1" applyAlignment="1">
      <alignment horizontal="right" vertical="center"/>
    </xf>
    <xf numFmtId="3" fontId="21" fillId="9" borderId="5" xfId="9" applyNumberFormat="1" applyFont="1" applyFill="1" applyBorder="1" applyAlignment="1">
      <alignment horizontal="right" vertical="center"/>
    </xf>
    <xf numFmtId="3" fontId="21" fillId="9" borderId="19" xfId="9" applyNumberFormat="1" applyFont="1" applyFill="1" applyBorder="1" applyAlignment="1">
      <alignment horizontal="right" vertical="center"/>
    </xf>
    <xf numFmtId="3" fontId="6" fillId="0" borderId="38" xfId="9" applyNumberFormat="1" applyFont="1" applyBorder="1" applyAlignment="1" applyProtection="1">
      <alignment horizontal="right" vertical="center"/>
      <protection locked="0"/>
    </xf>
    <xf numFmtId="3" fontId="6" fillId="0" borderId="1" xfId="9" applyNumberFormat="1" applyFont="1" applyBorder="1" applyAlignment="1" applyProtection="1">
      <alignment horizontal="right" vertical="center"/>
      <protection locked="0"/>
    </xf>
    <xf numFmtId="3" fontId="6" fillId="0" borderId="3" xfId="9" applyNumberFormat="1" applyFont="1" applyBorder="1" applyAlignment="1" applyProtection="1">
      <alignment horizontal="right" vertical="center"/>
      <protection locked="0"/>
    </xf>
    <xf numFmtId="0" fontId="90" fillId="0" borderId="0" xfId="9" applyFont="1"/>
    <xf numFmtId="0" fontId="23" fillId="0" borderId="0" xfId="9" applyFont="1" applyProtection="1">
      <protection locked="0"/>
    </xf>
    <xf numFmtId="0" fontId="60" fillId="0" borderId="0" xfId="0" applyFont="1"/>
    <xf numFmtId="169" fontId="79" fillId="0" borderId="0" xfId="14" applyNumberFormat="1" applyFont="1" applyBorder="1" applyAlignment="1">
      <alignment vertical="center"/>
    </xf>
    <xf numFmtId="0" fontId="6" fillId="16" borderId="0" xfId="10" applyFont="1" applyFill="1" applyAlignment="1">
      <alignment vertical="center"/>
    </xf>
    <xf numFmtId="0" fontId="6" fillId="17" borderId="0" xfId="10" applyFont="1" applyFill="1" applyAlignment="1">
      <alignment vertical="center"/>
    </xf>
    <xf numFmtId="0" fontId="6" fillId="0" borderId="0" xfId="10" applyFont="1" applyAlignment="1">
      <alignment horizontal="right" vertical="center"/>
    </xf>
    <xf numFmtId="169" fontId="92" fillId="0" borderId="0" xfId="14" applyNumberFormat="1" applyFont="1" applyBorder="1" applyAlignment="1">
      <alignment vertical="center"/>
    </xf>
    <xf numFmtId="3" fontId="51" fillId="0" borderId="0" xfId="10" applyNumberFormat="1" applyFont="1" applyAlignment="1">
      <alignment vertical="center"/>
    </xf>
    <xf numFmtId="169" fontId="51" fillId="0" borderId="0" xfId="14" applyNumberFormat="1" applyFont="1" applyBorder="1" applyAlignment="1">
      <alignment vertical="center"/>
    </xf>
    <xf numFmtId="165" fontId="6" fillId="0" borderId="0" xfId="10" applyNumberFormat="1" applyFont="1" applyAlignment="1">
      <alignment vertical="center"/>
    </xf>
    <xf numFmtId="9" fontId="6" fillId="0" borderId="0" xfId="14" applyFont="1" applyBorder="1" applyAlignment="1">
      <alignment vertical="center"/>
    </xf>
    <xf numFmtId="0" fontId="51" fillId="0" borderId="0" xfId="10" applyFont="1" applyAlignment="1">
      <alignment vertical="center"/>
    </xf>
    <xf numFmtId="0" fontId="8" fillId="0" borderId="0" xfId="9" applyFont="1" applyAlignment="1">
      <alignment horizontal="center" vertical="center"/>
    </xf>
    <xf numFmtId="0" fontId="79" fillId="0" borderId="0" xfId="9" applyFont="1" applyAlignment="1">
      <alignment horizontal="center" vertical="center"/>
    </xf>
    <xf numFmtId="168" fontId="6" fillId="0" borderId="28" xfId="9" applyNumberFormat="1" applyFont="1" applyBorder="1" applyAlignment="1" applyProtection="1">
      <alignment horizontal="right" vertical="center" wrapText="1" indent="1"/>
      <protection hidden="1"/>
    </xf>
    <xf numFmtId="168" fontId="6" fillId="0" borderId="23" xfId="9" applyNumberFormat="1" applyFont="1" applyBorder="1" applyAlignment="1" applyProtection="1">
      <alignment horizontal="right" vertical="center" wrapText="1" indent="1"/>
      <protection hidden="1"/>
    </xf>
    <xf numFmtId="168" fontId="6" fillId="0" borderId="2" xfId="9" applyNumberFormat="1" applyFont="1" applyBorder="1" applyAlignment="1" applyProtection="1">
      <alignment horizontal="right" vertical="center" wrapText="1" indent="1"/>
      <protection hidden="1"/>
    </xf>
    <xf numFmtId="168" fontId="6" fillId="0" borderId="3" xfId="9" applyNumberFormat="1" applyFont="1" applyBorder="1" applyAlignment="1" applyProtection="1">
      <alignment horizontal="right" vertical="center" wrapText="1" indent="1"/>
      <protection hidden="1"/>
    </xf>
    <xf numFmtId="168" fontId="6" fillId="0" borderId="15" xfId="9" applyNumberFormat="1" applyFont="1" applyBorder="1" applyAlignment="1" applyProtection="1">
      <alignment horizontal="right" vertical="center" wrapText="1" indent="1"/>
      <protection hidden="1"/>
    </xf>
    <xf numFmtId="168" fontId="6" fillId="0" borderId="4" xfId="9" applyNumberFormat="1" applyFont="1" applyBorder="1" applyAlignment="1" applyProtection="1">
      <alignment horizontal="right" vertical="center" wrapText="1" indent="1"/>
      <protection hidden="1"/>
    </xf>
    <xf numFmtId="0" fontId="6" fillId="18" borderId="0" xfId="9" applyFont="1" applyFill="1" applyAlignment="1">
      <alignment horizontal="left" vertical="center"/>
    </xf>
    <xf numFmtId="0" fontId="6" fillId="18" borderId="0" xfId="9" applyFont="1" applyFill="1" applyAlignment="1">
      <alignment horizontal="right" vertical="center"/>
    </xf>
    <xf numFmtId="4" fontId="6" fillId="18" borderId="0" xfId="9" applyNumberFormat="1" applyFont="1" applyFill="1" applyAlignment="1">
      <alignment horizontal="center" vertical="center"/>
    </xf>
    <xf numFmtId="166" fontId="94" fillId="19" borderId="0" xfId="9" applyNumberFormat="1" applyFont="1" applyFill="1" applyAlignment="1">
      <alignment horizontal="right" vertical="center"/>
    </xf>
    <xf numFmtId="166" fontId="94" fillId="19" borderId="18" xfId="9" applyNumberFormat="1" applyFont="1" applyFill="1" applyBorder="1" applyAlignment="1">
      <alignment vertical="center"/>
    </xf>
    <xf numFmtId="166" fontId="94" fillId="19" borderId="41" xfId="9" applyNumberFormat="1" applyFont="1" applyFill="1" applyBorder="1" applyAlignment="1">
      <alignment vertical="center"/>
    </xf>
    <xf numFmtId="166" fontId="6" fillId="18" borderId="7" xfId="9" applyNumberFormat="1" applyFont="1" applyFill="1" applyBorder="1" applyAlignment="1">
      <alignment vertical="center"/>
    </xf>
    <xf numFmtId="0" fontId="9" fillId="0" borderId="0" xfId="9" applyFont="1" applyAlignment="1">
      <alignment horizontal="center" vertical="center"/>
    </xf>
    <xf numFmtId="166" fontId="88" fillId="18" borderId="0" xfId="9" applyNumberFormat="1" applyFont="1" applyFill="1" applyAlignment="1">
      <alignment vertical="center"/>
    </xf>
    <xf numFmtId="0" fontId="8" fillId="0" borderId="40" xfId="9" applyFont="1" applyBorder="1" applyAlignment="1">
      <alignment horizontal="center" vertical="center"/>
    </xf>
    <xf numFmtId="0" fontId="8" fillId="0" borderId="40" xfId="9" applyFont="1" applyBorder="1" applyAlignment="1">
      <alignment vertical="center"/>
    </xf>
    <xf numFmtId="0" fontId="6" fillId="0" borderId="44" xfId="9" applyFont="1" applyBorder="1" applyAlignment="1">
      <alignment vertical="center"/>
    </xf>
    <xf numFmtId="0" fontId="6" fillId="0" borderId="39" xfId="9" applyFont="1" applyBorder="1" applyAlignment="1">
      <alignment horizontal="center" vertical="center"/>
    </xf>
    <xf numFmtId="168" fontId="79" fillId="20" borderId="0" xfId="9" applyNumberFormat="1" applyFont="1" applyFill="1" applyAlignment="1">
      <alignment vertical="center"/>
    </xf>
    <xf numFmtId="168" fontId="6" fillId="0" borderId="0" xfId="9" applyNumberFormat="1" applyFont="1" applyAlignment="1">
      <alignment vertical="center"/>
    </xf>
    <xf numFmtId="0" fontId="15" fillId="0" borderId="0" xfId="9" applyFont="1" applyAlignment="1">
      <alignment vertical="center"/>
    </xf>
    <xf numFmtId="0" fontId="15" fillId="0" borderId="67" xfId="9" applyFont="1" applyBorder="1" applyAlignment="1">
      <alignment horizontal="right" vertical="center"/>
    </xf>
    <xf numFmtId="3" fontId="6" fillId="0" borderId="67" xfId="9" applyNumberFormat="1" applyFont="1" applyBorder="1" applyAlignment="1">
      <alignment vertical="center"/>
    </xf>
    <xf numFmtId="3" fontId="6" fillId="0" borderId="113" xfId="9" applyNumberFormat="1" applyFont="1" applyBorder="1" applyAlignment="1">
      <alignment vertical="center"/>
    </xf>
    <xf numFmtId="169" fontId="6" fillId="0" borderId="115" xfId="14" applyNumberFormat="1" applyFont="1" applyBorder="1" applyAlignment="1">
      <alignment vertical="center"/>
    </xf>
    <xf numFmtId="168" fontId="79" fillId="21" borderId="0" xfId="9" applyNumberFormat="1" applyFont="1" applyFill="1" applyAlignment="1">
      <alignment vertical="center"/>
    </xf>
    <xf numFmtId="3" fontId="79" fillId="0" borderId="113" xfId="9" applyNumberFormat="1" applyFont="1" applyBorder="1" applyAlignment="1">
      <alignment vertical="center"/>
    </xf>
    <xf numFmtId="169" fontId="79" fillId="0" borderId="115" xfId="14" applyNumberFormat="1" applyFont="1" applyBorder="1" applyAlignment="1">
      <alignment vertical="center"/>
    </xf>
    <xf numFmtId="0" fontId="15" fillId="0" borderId="32" xfId="9" applyFont="1" applyBorder="1" applyAlignment="1">
      <alignment horizontal="right" vertical="center"/>
    </xf>
    <xf numFmtId="3" fontId="6" fillId="0" borderId="32" xfId="9" applyNumberFormat="1" applyFont="1" applyBorder="1" applyAlignment="1">
      <alignment vertical="center"/>
    </xf>
    <xf numFmtId="3" fontId="6" fillId="0" borderId="43" xfId="9" applyNumberFormat="1" applyFont="1" applyBorder="1" applyAlignment="1">
      <alignment vertical="center"/>
    </xf>
    <xf numFmtId="169" fontId="6" fillId="0" borderId="31" xfId="14" applyNumberFormat="1" applyFont="1" applyBorder="1" applyAlignment="1">
      <alignment vertical="center"/>
    </xf>
    <xf numFmtId="166" fontId="79" fillId="0" borderId="0" xfId="9" applyNumberFormat="1" applyFont="1" applyAlignment="1">
      <alignment vertical="center"/>
    </xf>
    <xf numFmtId="0" fontId="81" fillId="0" borderId="0" xfId="9" applyFont="1" applyAlignment="1">
      <alignment vertical="center"/>
    </xf>
    <xf numFmtId="0" fontId="81" fillId="0" borderId="0" xfId="9" applyFont="1" applyAlignment="1">
      <alignment horizontal="center" vertical="center"/>
    </xf>
    <xf numFmtId="0" fontId="81" fillId="0" borderId="60" xfId="9" applyFont="1" applyBorder="1" applyAlignment="1">
      <alignment vertical="center"/>
    </xf>
    <xf numFmtId="168" fontId="81" fillId="0" borderId="61" xfId="9" applyNumberFormat="1" applyFont="1" applyBorder="1" applyAlignment="1" applyProtection="1">
      <alignment horizontal="right" vertical="center" wrapText="1" indent="1"/>
      <protection hidden="1"/>
    </xf>
    <xf numFmtId="0" fontId="81" fillId="0" borderId="34" xfId="9" applyFont="1" applyBorder="1" applyAlignment="1">
      <alignment vertical="center"/>
    </xf>
    <xf numFmtId="168" fontId="81" fillId="0" borderId="4" xfId="9" applyNumberFormat="1" applyFont="1" applyBorder="1" applyAlignment="1" applyProtection="1">
      <alignment horizontal="right" vertical="center" wrapText="1" indent="1"/>
      <protection hidden="1"/>
    </xf>
    <xf numFmtId="0" fontId="81" fillId="0" borderId="34" xfId="9" applyFont="1" applyBorder="1" applyAlignment="1" applyProtection="1">
      <alignment vertical="center"/>
      <protection locked="0"/>
    </xf>
    <xf numFmtId="0" fontId="81" fillId="0" borderId="69" xfId="9" applyFont="1" applyBorder="1" applyAlignment="1">
      <alignment vertical="center"/>
    </xf>
    <xf numFmtId="0" fontId="95" fillId="0" borderId="29" xfId="9" applyFont="1" applyBorder="1" applyAlignment="1">
      <alignment vertical="center"/>
    </xf>
    <xf numFmtId="3" fontId="95" fillId="0" borderId="18" xfId="9" applyNumberFormat="1" applyFont="1" applyBorder="1" applyAlignment="1" applyProtection="1">
      <alignment horizontal="right" vertical="center" wrapText="1" indent="1"/>
      <protection locked="0"/>
    </xf>
    <xf numFmtId="3" fontId="95" fillId="0" borderId="20" xfId="9" applyNumberFormat="1" applyFont="1" applyBorder="1" applyAlignment="1" applyProtection="1">
      <alignment horizontal="right" vertical="center" wrapText="1" indent="1"/>
      <protection locked="0"/>
    </xf>
    <xf numFmtId="3" fontId="95" fillId="0" borderId="29" xfId="9" applyNumberFormat="1" applyFont="1" applyBorder="1" applyAlignment="1" applyProtection="1">
      <alignment horizontal="right" vertical="center" wrapText="1" indent="1"/>
      <protection hidden="1"/>
    </xf>
    <xf numFmtId="0" fontId="79" fillId="0" borderId="60" xfId="9" applyFont="1" applyBorder="1" applyAlignment="1">
      <alignment vertical="center"/>
    </xf>
    <xf numFmtId="171" fontId="88" fillId="22" borderId="28" xfId="9" applyNumberFormat="1" applyFont="1" applyFill="1" applyBorder="1" applyAlignment="1" applyProtection="1">
      <alignment horizontal="right" vertical="center" wrapText="1" indent="1"/>
      <protection hidden="1"/>
    </xf>
    <xf numFmtId="171" fontId="88" fillId="22" borderId="23" xfId="9" applyNumberFormat="1" applyFont="1" applyFill="1" applyBorder="1" applyAlignment="1" applyProtection="1">
      <alignment horizontal="right" vertical="center" wrapText="1" indent="1"/>
      <protection hidden="1"/>
    </xf>
    <xf numFmtId="171" fontId="88" fillId="22" borderId="61" xfId="9" applyNumberFormat="1" applyFont="1" applyFill="1" applyBorder="1" applyAlignment="1" applyProtection="1">
      <alignment horizontal="right" vertical="center" wrapText="1" indent="1"/>
      <protection hidden="1"/>
    </xf>
    <xf numFmtId="0" fontId="79" fillId="0" borderId="34" xfId="9" applyFont="1" applyBorder="1" applyAlignment="1">
      <alignment vertical="center"/>
    </xf>
    <xf numFmtId="171" fontId="88" fillId="22" borderId="3" xfId="9" applyNumberFormat="1" applyFont="1" applyFill="1" applyBorder="1" applyAlignment="1" applyProtection="1">
      <alignment horizontal="right" vertical="center" wrapText="1" indent="1"/>
      <protection hidden="1"/>
    </xf>
    <xf numFmtId="171" fontId="88" fillId="22" borderId="15" xfId="9" applyNumberFormat="1" applyFont="1" applyFill="1" applyBorder="1" applyAlignment="1" applyProtection="1">
      <alignment horizontal="right" vertical="center" wrapText="1" indent="1"/>
      <protection hidden="1"/>
    </xf>
    <xf numFmtId="171" fontId="88" fillId="22" borderId="4" xfId="9" applyNumberFormat="1" applyFont="1" applyFill="1" applyBorder="1" applyAlignment="1" applyProtection="1">
      <alignment horizontal="right" vertical="center" wrapText="1" indent="1"/>
      <protection hidden="1"/>
    </xf>
    <xf numFmtId="171" fontId="88" fillId="22" borderId="3" xfId="9" applyNumberFormat="1" applyFont="1" applyFill="1" applyBorder="1" applyAlignment="1" applyProtection="1">
      <alignment horizontal="right" vertical="center" indent="1" shrinkToFit="1"/>
      <protection hidden="1"/>
    </xf>
    <xf numFmtId="171" fontId="88" fillId="22" borderId="15" xfId="9" applyNumberFormat="1" applyFont="1" applyFill="1" applyBorder="1" applyAlignment="1" applyProtection="1">
      <alignment horizontal="right" vertical="center" indent="1" shrinkToFit="1"/>
      <protection hidden="1"/>
    </xf>
    <xf numFmtId="171" fontId="88" fillId="22" borderId="4" xfId="9" applyNumberFormat="1" applyFont="1" applyFill="1" applyBorder="1" applyAlignment="1" applyProtection="1">
      <alignment horizontal="right" vertical="center" indent="1" shrinkToFit="1"/>
      <protection hidden="1"/>
    </xf>
    <xf numFmtId="0" fontId="79" fillId="0" borderId="34" xfId="9" applyFont="1" applyBorder="1" applyAlignment="1" applyProtection="1">
      <alignment vertical="center"/>
      <protection locked="0"/>
    </xf>
    <xf numFmtId="0" fontId="79" fillId="0" borderId="69" xfId="9" applyFont="1" applyBorder="1" applyAlignment="1">
      <alignment vertical="center"/>
    </xf>
    <xf numFmtId="171" fontId="88" fillId="22" borderId="96" xfId="9" applyNumberFormat="1" applyFont="1" applyFill="1" applyBorder="1" applyAlignment="1" applyProtection="1">
      <alignment horizontal="right" vertical="center" wrapText="1" indent="1"/>
      <protection hidden="1"/>
    </xf>
    <xf numFmtId="171" fontId="88" fillId="22" borderId="12" xfId="9" applyNumberFormat="1" applyFont="1" applyFill="1" applyBorder="1" applyAlignment="1" applyProtection="1">
      <alignment horizontal="right" vertical="center" wrapText="1" indent="1"/>
      <protection hidden="1"/>
    </xf>
    <xf numFmtId="0" fontId="96" fillId="0" borderId="29" xfId="9" applyFont="1" applyBorder="1" applyAlignment="1">
      <alignment vertical="center"/>
    </xf>
    <xf numFmtId="171" fontId="97" fillId="22" borderId="18" xfId="9" applyNumberFormat="1" applyFont="1" applyFill="1" applyBorder="1" applyAlignment="1" applyProtection="1">
      <alignment horizontal="right" vertical="center" wrapText="1" indent="1"/>
      <protection locked="0"/>
    </xf>
    <xf numFmtId="171" fontId="97" fillId="22" borderId="20" xfId="9" applyNumberFormat="1" applyFont="1" applyFill="1" applyBorder="1" applyAlignment="1" applyProtection="1">
      <alignment horizontal="right" vertical="center" wrapText="1" indent="1"/>
      <protection locked="0"/>
    </xf>
    <xf numFmtId="171" fontId="97" fillId="22" borderId="29" xfId="9" applyNumberFormat="1" applyFont="1" applyFill="1" applyBorder="1" applyAlignment="1" applyProtection="1">
      <alignment horizontal="right" vertical="center" wrapText="1" indent="1"/>
      <protection hidden="1"/>
    </xf>
    <xf numFmtId="0" fontId="6" fillId="23" borderId="0" xfId="9" applyFont="1" applyFill="1" applyAlignment="1">
      <alignment vertical="center"/>
    </xf>
    <xf numFmtId="0" fontId="6" fillId="24" borderId="0" xfId="9" applyFont="1" applyFill="1" applyAlignment="1">
      <alignment vertical="center"/>
    </xf>
    <xf numFmtId="3" fontId="5" fillId="0" borderId="0" xfId="9" applyNumberFormat="1" applyFont="1" applyAlignment="1">
      <alignment horizontal="center" vertical="center"/>
    </xf>
    <xf numFmtId="0" fontId="13" fillId="9" borderId="123" xfId="0" applyFont="1" applyFill="1" applyBorder="1" applyAlignment="1">
      <alignment horizontal="left" vertical="center"/>
    </xf>
    <xf numFmtId="0" fontId="13" fillId="9" borderId="4" xfId="0" applyFont="1" applyFill="1" applyBorder="1" applyAlignment="1">
      <alignment horizontal="left" vertical="center"/>
    </xf>
    <xf numFmtId="0" fontId="13" fillId="9" borderId="92" xfId="0" applyFont="1" applyFill="1" applyBorder="1" applyAlignment="1">
      <alignment horizontal="left" vertical="center"/>
    </xf>
    <xf numFmtId="0" fontId="13" fillId="9" borderId="15" xfId="0" applyFont="1" applyFill="1" applyBorder="1" applyAlignment="1">
      <alignment horizontal="left" vertical="center"/>
    </xf>
    <xf numFmtId="0" fontId="61" fillId="5" borderId="0" xfId="9" applyFont="1" applyFill="1" applyAlignment="1">
      <alignment horizontal="right" vertical="center"/>
    </xf>
    <xf numFmtId="0" fontId="99" fillId="5" borderId="0" xfId="9" applyFont="1" applyFill="1" applyAlignment="1">
      <alignment horizontal="center" vertical="center"/>
    </xf>
    <xf numFmtId="0" fontId="61" fillId="0" borderId="3" xfId="9" applyFont="1" applyBorder="1" applyAlignment="1">
      <alignment horizontal="center" vertical="center"/>
    </xf>
    <xf numFmtId="0" fontId="61" fillId="0" borderId="13" xfId="9" applyFont="1" applyBorder="1" applyAlignment="1">
      <alignment horizontal="center" vertical="center"/>
    </xf>
    <xf numFmtId="0" fontId="61" fillId="0" borderId="15" xfId="9" applyFont="1" applyBorder="1" applyAlignment="1">
      <alignment horizontal="center" vertical="center"/>
    </xf>
    <xf numFmtId="0" fontId="100" fillId="0" borderId="30" xfId="9" applyFont="1" applyBorder="1" applyAlignment="1">
      <alignment horizontal="center" vertical="center"/>
    </xf>
    <xf numFmtId="0" fontId="100" fillId="0" borderId="16" xfId="9" applyFont="1" applyBorder="1" applyAlignment="1">
      <alignment horizontal="center" vertical="center"/>
    </xf>
    <xf numFmtId="0" fontId="100" fillId="0" borderId="42" xfId="9" applyFont="1" applyBorder="1" applyAlignment="1">
      <alignment horizontal="center" vertical="center"/>
    </xf>
    <xf numFmtId="0" fontId="100" fillId="5" borderId="0" xfId="9" applyFont="1" applyFill="1" applyAlignment="1">
      <alignment horizontal="center" vertical="center"/>
    </xf>
    <xf numFmtId="0" fontId="61" fillId="0" borderId="80" xfId="9" applyFont="1" applyBorder="1" applyAlignment="1">
      <alignment horizontal="center" vertical="center"/>
    </xf>
    <xf numFmtId="3" fontId="61" fillId="0" borderId="102" xfId="9" applyNumberFormat="1" applyFont="1" applyBorder="1" applyAlignment="1">
      <alignment horizontal="right" vertical="center"/>
    </xf>
    <xf numFmtId="3" fontId="61" fillId="0" borderId="103" xfId="9" applyNumberFormat="1" applyFont="1" applyBorder="1" applyAlignment="1">
      <alignment horizontal="right" vertical="center"/>
    </xf>
    <xf numFmtId="3" fontId="61" fillId="0" borderId="80" xfId="9" applyNumberFormat="1" applyFont="1" applyBorder="1" applyAlignment="1">
      <alignment horizontal="right" vertical="center"/>
    </xf>
    <xf numFmtId="3" fontId="61" fillId="0" borderId="105" xfId="9" applyNumberFormat="1" applyFont="1" applyBorder="1" applyAlignment="1">
      <alignment horizontal="right" vertical="center"/>
    </xf>
    <xf numFmtId="167" fontId="61" fillId="5" borderId="0" xfId="9" applyNumberFormat="1" applyFont="1" applyFill="1" applyAlignment="1">
      <alignment horizontal="center" vertical="center"/>
    </xf>
    <xf numFmtId="3" fontId="61" fillId="0" borderId="104" xfId="9" applyNumberFormat="1" applyFont="1" applyBorder="1" applyAlignment="1">
      <alignment horizontal="right" vertical="center"/>
    </xf>
    <xf numFmtId="3" fontId="61" fillId="0" borderId="102" xfId="9" applyNumberFormat="1" applyFont="1" applyBorder="1" applyAlignment="1" applyProtection="1">
      <alignment horizontal="right" vertical="center"/>
      <protection locked="0"/>
    </xf>
    <xf numFmtId="3" fontId="61" fillId="0" borderId="103" xfId="9" applyNumberFormat="1" applyFont="1" applyBorder="1" applyAlignment="1" applyProtection="1">
      <alignment horizontal="right" vertical="center"/>
      <protection locked="0"/>
    </xf>
    <xf numFmtId="3" fontId="61" fillId="0" borderId="80" xfId="9" applyNumberFormat="1" applyFont="1" applyBorder="1" applyAlignment="1" applyProtection="1">
      <alignment horizontal="right" vertical="center"/>
      <protection locked="0"/>
    </xf>
    <xf numFmtId="3" fontId="61" fillId="0" borderId="104" xfId="9" applyNumberFormat="1" applyFont="1" applyBorder="1" applyAlignment="1" applyProtection="1">
      <alignment horizontal="right" vertical="center"/>
      <protection locked="0"/>
    </xf>
    <xf numFmtId="0" fontId="61" fillId="0" borderId="81" xfId="9" applyFont="1" applyBorder="1" applyAlignment="1">
      <alignment vertical="center"/>
    </xf>
    <xf numFmtId="0" fontId="61" fillId="0" borderId="82" xfId="9" applyFont="1" applyBorder="1" applyAlignment="1">
      <alignment vertical="center"/>
    </xf>
    <xf numFmtId="0" fontId="61" fillId="0" borderId="84" xfId="9" applyFont="1" applyBorder="1" applyAlignment="1">
      <alignment vertical="center"/>
    </xf>
    <xf numFmtId="0" fontId="61" fillId="0" borderId="87" xfId="9" applyFont="1" applyBorder="1" applyAlignment="1">
      <alignment vertical="center"/>
    </xf>
    <xf numFmtId="3" fontId="61" fillId="0" borderId="124" xfId="9" applyNumberFormat="1" applyFont="1" applyBorder="1" applyAlignment="1">
      <alignment horizontal="right" vertical="center"/>
    </xf>
    <xf numFmtId="3" fontId="61" fillId="0" borderId="125" xfId="9" applyNumberFormat="1" applyFont="1" applyBorder="1" applyAlignment="1">
      <alignment horizontal="right" vertical="center"/>
    </xf>
    <xf numFmtId="3" fontId="61" fillId="0" borderId="85" xfId="9" applyNumberFormat="1" applyFont="1" applyBorder="1" applyAlignment="1">
      <alignment horizontal="right" vertical="center"/>
    </xf>
    <xf numFmtId="3" fontId="61" fillId="0" borderId="126" xfId="9" applyNumberFormat="1" applyFont="1" applyBorder="1" applyAlignment="1">
      <alignment horizontal="right" vertical="center"/>
    </xf>
    <xf numFmtId="3" fontId="61" fillId="0" borderId="127" xfId="9" applyNumberFormat="1" applyFont="1" applyBorder="1" applyAlignment="1">
      <alignment horizontal="right" vertical="center"/>
    </xf>
    <xf numFmtId="167" fontId="61" fillId="0" borderId="0" xfId="9" applyNumberFormat="1" applyFont="1" applyAlignment="1">
      <alignment horizontal="center" vertical="center"/>
    </xf>
    <xf numFmtId="0" fontId="61" fillId="0" borderId="85" xfId="9" applyFont="1" applyBorder="1" applyAlignment="1">
      <alignment horizontal="center" vertical="center"/>
    </xf>
    <xf numFmtId="0" fontId="12" fillId="0" borderId="112" xfId="0" applyFont="1" applyBorder="1" applyAlignment="1">
      <alignment horizontal="center" vertical="center" wrapText="1" shrinkToFit="1"/>
    </xf>
    <xf numFmtId="3" fontId="6" fillId="3" borderId="128" xfId="9" applyNumberFormat="1" applyFont="1" applyFill="1" applyBorder="1" applyAlignment="1">
      <alignment horizontal="right" vertical="center"/>
    </xf>
    <xf numFmtId="3" fontId="6" fillId="3" borderId="49" xfId="9" applyNumberFormat="1" applyFont="1" applyFill="1" applyBorder="1" applyAlignment="1">
      <alignment horizontal="right" vertical="center"/>
    </xf>
    <xf numFmtId="3" fontId="6" fillId="3" borderId="129" xfId="9" applyNumberFormat="1" applyFont="1" applyFill="1" applyBorder="1" applyAlignment="1">
      <alignment horizontal="right" vertical="center"/>
    </xf>
    <xf numFmtId="3" fontId="6" fillId="3" borderId="64" xfId="9" applyNumberFormat="1" applyFont="1" applyFill="1" applyBorder="1" applyAlignment="1">
      <alignment horizontal="right" vertical="center"/>
    </xf>
    <xf numFmtId="0" fontId="12" fillId="0" borderId="123" xfId="0" applyFont="1" applyBorder="1" applyAlignment="1">
      <alignment horizontal="center" vertical="center"/>
    </xf>
    <xf numFmtId="0" fontId="6" fillId="0" borderId="4" xfId="0" applyFont="1" applyBorder="1" applyAlignment="1">
      <alignment vertical="center"/>
    </xf>
    <xf numFmtId="0" fontId="12" fillId="0" borderId="4" xfId="0" applyFont="1" applyBorder="1" applyAlignment="1">
      <alignment vertical="center"/>
    </xf>
    <xf numFmtId="0" fontId="6" fillId="0" borderId="123" xfId="0" applyFont="1" applyBorder="1" applyAlignment="1">
      <alignment horizontal="center" vertical="center"/>
    </xf>
    <xf numFmtId="0" fontId="12" fillId="0" borderId="130" xfId="0" applyFont="1" applyBorder="1" applyAlignment="1">
      <alignment horizontal="center" vertical="center"/>
    </xf>
    <xf numFmtId="0" fontId="12" fillId="0" borderId="63" xfId="0" applyFont="1" applyBorder="1" applyAlignment="1">
      <alignment vertical="center"/>
    </xf>
    <xf numFmtId="0" fontId="12" fillId="0" borderId="4" xfId="0" applyFont="1" applyBorder="1" applyAlignment="1">
      <alignment horizontal="justify" vertical="center"/>
    </xf>
    <xf numFmtId="0" fontId="23" fillId="0" borderId="4" xfId="0" applyFont="1" applyBorder="1" applyAlignment="1">
      <alignment horizontal="left" vertical="center"/>
    </xf>
    <xf numFmtId="0" fontId="12" fillId="0" borderId="38" xfId="0" applyFont="1" applyBorder="1" applyAlignment="1">
      <alignment horizontal="center" vertical="center"/>
    </xf>
    <xf numFmtId="0" fontId="12" fillId="0" borderId="123" xfId="0" applyFont="1" applyBorder="1" applyAlignment="1" applyProtection="1">
      <alignment horizontal="left" vertical="center"/>
      <protection locked="0"/>
    </xf>
    <xf numFmtId="0" fontId="23" fillId="0" borderId="4" xfId="0" applyFont="1" applyBorder="1" applyAlignment="1" applyProtection="1">
      <alignment horizontal="left" vertical="center"/>
      <protection locked="0"/>
    </xf>
    <xf numFmtId="0" fontId="13" fillId="0" borderId="123" xfId="0" applyFont="1" applyBorder="1" applyAlignment="1" applyProtection="1">
      <alignment horizontal="left" vertical="center"/>
      <protection locked="0"/>
    </xf>
    <xf numFmtId="3" fontId="6" fillId="0" borderId="32" xfId="9" applyNumberFormat="1" applyFont="1" applyBorder="1" applyAlignment="1" applyProtection="1">
      <alignment horizontal="right" vertical="center"/>
      <protection locked="0"/>
    </xf>
    <xf numFmtId="0" fontId="20" fillId="0" borderId="0" xfId="0" applyFont="1" applyAlignment="1">
      <alignment horizontal="left" vertical="center"/>
    </xf>
    <xf numFmtId="0" fontId="1" fillId="0" borderId="0" xfId="0" applyFont="1" applyAlignment="1">
      <alignment vertical="center"/>
    </xf>
    <xf numFmtId="0" fontId="12" fillId="0" borderId="0" xfId="0" applyFont="1" applyAlignment="1">
      <alignment horizontal="center" vertical="center" wrapText="1" shrinkToFit="1"/>
    </xf>
    <xf numFmtId="0" fontId="12" fillId="0" borderId="131" xfId="0" applyFont="1" applyBorder="1" applyAlignment="1">
      <alignment horizontal="center" vertical="center" wrapText="1" shrinkToFit="1"/>
    </xf>
    <xf numFmtId="0" fontId="12" fillId="0" borderId="63" xfId="0" applyFont="1" applyBorder="1" applyAlignment="1">
      <alignment horizontal="center" vertical="center" wrapText="1" shrinkToFit="1"/>
    </xf>
    <xf numFmtId="0" fontId="12" fillId="0" borderId="59" xfId="0" applyFont="1" applyBorder="1" applyAlignment="1">
      <alignment horizontal="center" vertical="center" wrapText="1" shrinkToFit="1"/>
    </xf>
    <xf numFmtId="3" fontId="8" fillId="9" borderId="36" xfId="9" applyNumberFormat="1" applyFont="1" applyFill="1" applyBorder="1" applyAlignment="1">
      <alignment horizontal="right" vertical="center"/>
    </xf>
    <xf numFmtId="3" fontId="12" fillId="0" borderId="17" xfId="0" applyNumberFormat="1" applyFont="1" applyBorder="1" applyAlignment="1" applyProtection="1">
      <alignment horizontal="right" vertical="center"/>
      <protection locked="0"/>
    </xf>
    <xf numFmtId="3" fontId="8" fillId="7" borderId="15" xfId="9" applyNumberFormat="1" applyFont="1" applyFill="1" applyBorder="1" applyAlignment="1">
      <alignment horizontal="right" vertical="center"/>
    </xf>
    <xf numFmtId="3" fontId="13" fillId="9" borderId="17" xfId="0" applyNumberFormat="1" applyFont="1" applyFill="1" applyBorder="1" applyAlignment="1">
      <alignment horizontal="right" vertical="center"/>
    </xf>
    <xf numFmtId="3" fontId="13" fillId="9" borderId="4" xfId="0" applyNumberFormat="1" applyFont="1" applyFill="1" applyBorder="1" applyAlignment="1">
      <alignment horizontal="right" vertical="center"/>
    </xf>
    <xf numFmtId="3" fontId="13" fillId="9" borderId="3" xfId="0" applyNumberFormat="1" applyFont="1" applyFill="1" applyBorder="1" applyAlignment="1">
      <alignment horizontal="right" vertical="center"/>
    </xf>
    <xf numFmtId="0" fontId="96" fillId="0" borderId="92" xfId="0" applyFont="1" applyBorder="1" applyAlignment="1">
      <alignment horizontal="center" vertical="center"/>
    </xf>
    <xf numFmtId="0" fontId="13" fillId="0" borderId="92" xfId="0" applyFont="1" applyBorder="1" applyAlignment="1">
      <alignment horizontal="left" vertical="center"/>
    </xf>
    <xf numFmtId="0" fontId="12" fillId="0" borderId="92" xfId="0" applyFont="1" applyBorder="1" applyAlignment="1" applyProtection="1">
      <alignment horizontal="center" vertical="center"/>
      <protection locked="0"/>
    </xf>
    <xf numFmtId="0" fontId="30" fillId="0" borderId="0" xfId="13" applyFont="1" applyAlignment="1">
      <alignment vertical="center"/>
    </xf>
    <xf numFmtId="0" fontId="19" fillId="0" borderId="0" xfId="13" applyFont="1" applyAlignment="1">
      <alignment vertical="center"/>
    </xf>
    <xf numFmtId="0" fontId="6" fillId="0" borderId="0" xfId="13" applyFont="1" applyAlignment="1">
      <alignment horizontal="right" vertical="center"/>
    </xf>
    <xf numFmtId="0" fontId="12" fillId="0" borderId="28" xfId="13" applyFont="1" applyBorder="1" applyAlignment="1">
      <alignment horizontal="center" vertical="center"/>
    </xf>
    <xf numFmtId="0" fontId="12" fillId="0" borderId="70" xfId="13" applyFont="1" applyBorder="1" applyAlignment="1">
      <alignment horizontal="center" vertical="center"/>
    </xf>
    <xf numFmtId="3" fontId="6" fillId="0" borderId="23" xfId="9" applyNumberFormat="1" applyFont="1" applyBorder="1" applyAlignment="1">
      <alignment horizontal="right" vertical="center"/>
    </xf>
    <xf numFmtId="3" fontId="6" fillId="0" borderId="129" xfId="9" applyNumberFormat="1" applyFont="1" applyBorder="1" applyAlignment="1">
      <alignment horizontal="right" vertical="center"/>
    </xf>
    <xf numFmtId="0" fontId="12" fillId="0" borderId="3" xfId="13" applyFont="1" applyBorder="1" applyAlignment="1">
      <alignment horizontal="center" vertical="center"/>
    </xf>
    <xf numFmtId="0" fontId="12" fillId="0" borderId="35" xfId="13" applyFont="1" applyBorder="1" applyAlignment="1">
      <alignment horizontal="center" vertical="center"/>
    </xf>
    <xf numFmtId="3" fontId="6" fillId="0" borderId="13" xfId="9" applyNumberFormat="1" applyFont="1" applyBorder="1" applyAlignment="1">
      <alignment horizontal="right" vertical="center"/>
    </xf>
    <xf numFmtId="3" fontId="6" fillId="0" borderId="15" xfId="9" applyNumberFormat="1" applyFont="1" applyBorder="1" applyAlignment="1">
      <alignment horizontal="right" vertical="center"/>
    </xf>
    <xf numFmtId="3" fontId="6" fillId="0" borderId="32" xfId="9" applyNumberFormat="1" applyFont="1" applyBorder="1" applyAlignment="1">
      <alignment horizontal="right" vertical="center"/>
    </xf>
    <xf numFmtId="3" fontId="6" fillId="0" borderId="46" xfId="9" applyNumberFormat="1" applyFont="1" applyBorder="1" applyAlignment="1">
      <alignment horizontal="right" vertical="center"/>
    </xf>
    <xf numFmtId="0" fontId="12" fillId="0" borderId="90" xfId="13" applyFont="1" applyBorder="1" applyAlignment="1">
      <alignment horizontal="center" vertical="center"/>
    </xf>
    <xf numFmtId="3" fontId="6" fillId="0" borderId="40" xfId="9" applyNumberFormat="1" applyFont="1" applyBorder="1" applyAlignment="1">
      <alignment horizontal="right" vertical="center"/>
    </xf>
    <xf numFmtId="3" fontId="6" fillId="0" borderId="59" xfId="9" applyNumberFormat="1" applyFont="1" applyBorder="1" applyAlignment="1">
      <alignment horizontal="right" vertical="center"/>
    </xf>
    <xf numFmtId="0" fontId="14" fillId="0" borderId="0" xfId="13" applyFont="1" applyAlignment="1">
      <alignment horizontal="center" vertical="center"/>
    </xf>
    <xf numFmtId="0" fontId="21" fillId="0" borderId="0" xfId="13" applyFont="1" applyAlignment="1">
      <alignment vertical="center"/>
    </xf>
    <xf numFmtId="0" fontId="13" fillId="7" borderId="61" xfId="0" applyFont="1" applyFill="1" applyBorder="1" applyAlignment="1">
      <alignment horizontal="center" vertical="center"/>
    </xf>
    <xf numFmtId="0" fontId="101" fillId="9" borderId="3" xfId="0" applyFont="1" applyFill="1" applyBorder="1" applyAlignment="1">
      <alignment horizontal="center" vertical="center"/>
    </xf>
    <xf numFmtId="0" fontId="101" fillId="9" borderId="13" xfId="0" applyFont="1" applyFill="1" applyBorder="1" applyAlignment="1">
      <alignment horizontal="center" vertical="center"/>
    </xf>
    <xf numFmtId="0" fontId="12" fillId="0" borderId="1" xfId="0" applyFont="1" applyBorder="1" applyAlignment="1">
      <alignment horizontal="center" vertical="center"/>
    </xf>
    <xf numFmtId="0" fontId="12" fillId="0" borderId="32" xfId="0" applyFont="1" applyBorder="1" applyAlignment="1">
      <alignment horizontal="center" vertical="center"/>
    </xf>
    <xf numFmtId="0" fontId="68" fillId="0" borderId="35" xfId="0" applyFont="1" applyBorder="1" applyAlignment="1">
      <alignment horizontal="left" vertical="center" indent="3"/>
    </xf>
    <xf numFmtId="0" fontId="66" fillId="0" borderId="132" xfId="0" applyFont="1" applyBorder="1" applyAlignment="1">
      <alignment horizontal="right" vertical="center"/>
    </xf>
    <xf numFmtId="0" fontId="12" fillId="0" borderId="4" xfId="0" applyFont="1" applyBorder="1" applyAlignment="1">
      <alignment horizontal="center" vertical="center"/>
    </xf>
    <xf numFmtId="3" fontId="6" fillId="0" borderId="40" xfId="9" applyNumberFormat="1" applyFont="1" applyBorder="1" applyAlignment="1" applyProtection="1">
      <alignment horizontal="right" vertical="center"/>
      <protection locked="0"/>
    </xf>
    <xf numFmtId="0" fontId="68" fillId="0" borderId="33" xfId="0" applyFont="1" applyBorder="1" applyAlignment="1">
      <alignment horizontal="left" vertical="center" indent="3"/>
    </xf>
    <xf numFmtId="0" fontId="66" fillId="0" borderId="107" xfId="0" applyFont="1" applyBorder="1" applyAlignment="1">
      <alignment horizontal="right" vertical="center"/>
    </xf>
    <xf numFmtId="0" fontId="13" fillId="7" borderId="1" xfId="0" applyFont="1" applyFill="1" applyBorder="1" applyAlignment="1">
      <alignment horizontal="center" vertical="center"/>
    </xf>
    <xf numFmtId="0" fontId="12" fillId="7" borderId="32" xfId="0" applyFont="1" applyFill="1" applyBorder="1" applyAlignment="1">
      <alignment horizontal="center" vertical="center"/>
    </xf>
    <xf numFmtId="0" fontId="13" fillId="7" borderId="2" xfId="0" applyFont="1" applyFill="1" applyBorder="1" applyAlignment="1">
      <alignment horizontal="center" vertical="center"/>
    </xf>
    <xf numFmtId="0" fontId="13" fillId="9" borderId="4" xfId="0" applyFont="1" applyFill="1" applyBorder="1" applyAlignment="1">
      <alignment horizontal="center" vertical="center"/>
    </xf>
    <xf numFmtId="0" fontId="13" fillId="7" borderId="3" xfId="0" applyFont="1" applyFill="1" applyBorder="1" applyAlignment="1">
      <alignment horizontal="center" vertical="center"/>
    </xf>
    <xf numFmtId="0" fontId="23" fillId="7" borderId="4" xfId="0" applyFont="1" applyFill="1" applyBorder="1" applyAlignment="1">
      <alignment horizontal="center" vertical="center"/>
    </xf>
    <xf numFmtId="3" fontId="8" fillId="7" borderId="32" xfId="9" applyNumberFormat="1" applyFont="1" applyFill="1" applyBorder="1" applyAlignment="1">
      <alignment horizontal="right" vertical="center"/>
    </xf>
    <xf numFmtId="0" fontId="12" fillId="0" borderId="2" xfId="0" applyFont="1" applyBorder="1" applyAlignment="1">
      <alignment horizontal="center" vertical="center"/>
    </xf>
    <xf numFmtId="3" fontId="6" fillId="0" borderId="90" xfId="9" applyNumberFormat="1" applyFont="1" applyBorder="1" applyAlignment="1" applyProtection="1">
      <alignment horizontal="right" vertical="center"/>
      <protection locked="0"/>
    </xf>
    <xf numFmtId="3" fontId="6" fillId="4" borderId="31" xfId="9" applyNumberFormat="1" applyFont="1" applyFill="1" applyBorder="1" applyAlignment="1">
      <alignment horizontal="right" vertical="center"/>
    </xf>
    <xf numFmtId="0" fontId="68" fillId="0" borderId="35" xfId="0" applyFont="1" applyBorder="1" applyAlignment="1">
      <alignment horizontal="left" vertical="center"/>
    </xf>
    <xf numFmtId="0" fontId="66" fillId="0" borderId="133" xfId="0" applyFont="1" applyBorder="1" applyAlignment="1">
      <alignment horizontal="right" vertical="center"/>
    </xf>
    <xf numFmtId="0" fontId="12" fillId="0" borderId="33" xfId="0" applyFont="1" applyBorder="1" applyAlignment="1">
      <alignment horizontal="left" vertical="center" wrapText="1"/>
    </xf>
    <xf numFmtId="0" fontId="12" fillId="0" borderId="134" xfId="0" applyFont="1" applyBorder="1" applyAlignment="1">
      <alignment horizontal="left" vertical="center" wrapText="1"/>
    </xf>
    <xf numFmtId="3" fontId="8" fillId="7" borderId="33" xfId="9" applyNumberFormat="1" applyFont="1" applyFill="1" applyBorder="1" applyAlignment="1">
      <alignment horizontal="right" vertical="center"/>
    </xf>
    <xf numFmtId="3" fontId="8" fillId="7" borderId="13" xfId="9" applyNumberFormat="1" applyFont="1" applyFill="1" applyBorder="1" applyAlignment="1">
      <alignment horizontal="right" vertical="center"/>
    </xf>
    <xf numFmtId="0" fontId="12" fillId="7" borderId="13" xfId="0" applyFont="1" applyFill="1" applyBorder="1" applyAlignment="1">
      <alignment horizontal="center" vertical="center"/>
    </xf>
    <xf numFmtId="3" fontId="6" fillId="4" borderId="4" xfId="9" applyNumberFormat="1" applyFont="1" applyFill="1" applyBorder="1" applyAlignment="1">
      <alignment horizontal="right" vertical="center"/>
    </xf>
    <xf numFmtId="0" fontId="13" fillId="7" borderId="121" xfId="0" applyFont="1" applyFill="1" applyBorder="1" applyAlignment="1">
      <alignment horizontal="center" vertical="center"/>
    </xf>
    <xf numFmtId="0" fontId="12" fillId="7" borderId="67" xfId="0" applyFont="1" applyFill="1" applyBorder="1" applyAlignment="1">
      <alignment horizontal="center" vertical="center"/>
    </xf>
    <xf numFmtId="0" fontId="13" fillId="7" borderId="5" xfId="0" applyFont="1" applyFill="1" applyBorder="1" applyAlignment="1">
      <alignment horizontal="center" vertical="center"/>
    </xf>
    <xf numFmtId="0" fontId="12" fillId="7" borderId="19" xfId="0" applyFont="1" applyFill="1" applyBorder="1" applyAlignment="1">
      <alignment horizontal="center" vertical="center"/>
    </xf>
    <xf numFmtId="0" fontId="6" fillId="13" borderId="0" xfId="9" applyFont="1" applyFill="1" applyAlignment="1">
      <alignment vertical="center"/>
    </xf>
    <xf numFmtId="0" fontId="102" fillId="0" borderId="0" xfId="0" applyFont="1"/>
    <xf numFmtId="172" fontId="6" fillId="0" borderId="0" xfId="9" applyNumberFormat="1" applyFont="1" applyAlignment="1">
      <alignment vertical="center"/>
    </xf>
    <xf numFmtId="0" fontId="81" fillId="13" borderId="34" xfId="9" applyFont="1" applyFill="1" applyBorder="1" applyAlignment="1">
      <alignment vertical="center"/>
    </xf>
    <xf numFmtId="0" fontId="103" fillId="26" borderId="160" xfId="0" applyFont="1" applyFill="1" applyBorder="1" applyAlignment="1">
      <alignment horizontal="center" vertical="center"/>
    </xf>
    <xf numFmtId="0" fontId="14" fillId="9" borderId="5" xfId="13" applyFont="1" applyFill="1" applyBorder="1" applyAlignment="1">
      <alignment horizontal="center" vertical="center"/>
    </xf>
    <xf numFmtId="0" fontId="14" fillId="9" borderId="41" xfId="13" applyFont="1" applyFill="1" applyBorder="1" applyAlignment="1">
      <alignment horizontal="center" vertical="center"/>
    </xf>
    <xf numFmtId="3" fontId="21" fillId="9" borderId="137" xfId="9" applyNumberFormat="1" applyFont="1" applyFill="1" applyBorder="1" applyAlignment="1">
      <alignment horizontal="left" vertical="center"/>
    </xf>
    <xf numFmtId="3" fontId="8" fillId="9" borderId="5" xfId="9" applyNumberFormat="1" applyFont="1" applyFill="1" applyBorder="1" applyAlignment="1">
      <alignment horizontal="right" vertical="center"/>
    </xf>
    <xf numFmtId="3" fontId="8" fillId="9" borderId="19" xfId="9" applyNumberFormat="1" applyFont="1" applyFill="1" applyBorder="1" applyAlignment="1">
      <alignment horizontal="right" vertical="center"/>
    </xf>
    <xf numFmtId="3" fontId="8" fillId="9" borderId="20" xfId="9" applyNumberFormat="1" applyFont="1" applyFill="1" applyBorder="1" applyAlignment="1">
      <alignment horizontal="right" vertical="center"/>
    </xf>
    <xf numFmtId="2" fontId="6" fillId="0" borderId="0" xfId="9" applyNumberFormat="1" applyFont="1" applyAlignment="1">
      <alignment vertical="center"/>
    </xf>
    <xf numFmtId="3" fontId="8" fillId="0" borderId="18" xfId="9" applyNumberFormat="1" applyFont="1" applyBorder="1" applyAlignment="1" applyProtection="1">
      <alignment horizontal="right" vertical="center" wrapText="1" indent="1"/>
      <protection hidden="1"/>
    </xf>
    <xf numFmtId="3" fontId="8" fillId="0" borderId="45" xfId="9" applyNumberFormat="1" applyFont="1" applyBorder="1" applyAlignment="1" applyProtection="1">
      <alignment horizontal="right" vertical="center" wrapText="1" indent="1"/>
      <protection hidden="1"/>
    </xf>
    <xf numFmtId="3" fontId="8" fillId="0" borderId="41" xfId="9" applyNumberFormat="1" applyFont="1" applyBorder="1" applyAlignment="1" applyProtection="1">
      <alignment horizontal="right" vertical="center" wrapText="1" indent="1"/>
      <protection hidden="1"/>
    </xf>
    <xf numFmtId="3" fontId="8" fillId="0" borderId="20" xfId="9" applyNumberFormat="1" applyFont="1" applyBorder="1" applyAlignment="1" applyProtection="1">
      <alignment horizontal="right" vertical="center" wrapText="1" indent="1"/>
      <protection hidden="1"/>
    </xf>
    <xf numFmtId="0" fontId="6" fillId="0" borderId="0" xfId="13" applyFont="1" applyAlignment="1" applyProtection="1">
      <alignment horizontal="left" vertical="center" wrapText="1"/>
      <protection locked="0"/>
    </xf>
    <xf numFmtId="0" fontId="6" fillId="2" borderId="1" xfId="9" applyFont="1" applyFill="1" applyBorder="1" applyAlignment="1">
      <alignment horizontal="center" vertical="center"/>
    </xf>
    <xf numFmtId="0" fontId="23" fillId="0" borderId="0" xfId="9" applyFont="1" applyAlignment="1" applyProtection="1">
      <alignment wrapText="1"/>
      <protection locked="0"/>
    </xf>
    <xf numFmtId="3" fontId="91" fillId="0" borderId="0" xfId="9" applyNumberFormat="1" applyFont="1" applyAlignment="1" applyProtection="1">
      <alignment wrapText="1"/>
      <protection locked="0"/>
    </xf>
    <xf numFmtId="0" fontId="8" fillId="5" borderId="0" xfId="13" applyFont="1" applyFill="1" applyAlignment="1" applyProtection="1">
      <alignment vertical="center"/>
      <protection locked="0"/>
    </xf>
    <xf numFmtId="3" fontId="7" fillId="6" borderId="6" xfId="9" applyNumberFormat="1" applyFont="1" applyFill="1" applyBorder="1" applyAlignment="1">
      <alignment horizontal="right" vertical="center"/>
    </xf>
    <xf numFmtId="3" fontId="7" fillId="6" borderId="19" xfId="9" applyNumberFormat="1" applyFont="1" applyFill="1" applyBorder="1" applyAlignment="1">
      <alignment horizontal="right" vertical="center"/>
    </xf>
    <xf numFmtId="3" fontId="18" fillId="6" borderId="31" xfId="9" applyNumberFormat="1" applyFont="1" applyFill="1" applyBorder="1" applyAlignment="1" applyProtection="1">
      <alignment horizontal="right" vertical="center"/>
      <protection locked="0"/>
    </xf>
    <xf numFmtId="3" fontId="18" fillId="6" borderId="32" xfId="9" applyNumberFormat="1" applyFont="1" applyFill="1" applyBorder="1" applyAlignment="1">
      <alignment horizontal="right" vertical="center"/>
    </xf>
    <xf numFmtId="3" fontId="18" fillId="6" borderId="13" xfId="9" applyNumberFormat="1" applyFont="1" applyFill="1" applyBorder="1" applyAlignment="1">
      <alignment horizontal="right" vertical="center"/>
    </xf>
    <xf numFmtId="3" fontId="18" fillId="0" borderId="138" xfId="9" applyNumberFormat="1" applyFont="1" applyBorder="1" applyAlignment="1" applyProtection="1">
      <alignment horizontal="right" vertical="center"/>
      <protection locked="0"/>
    </xf>
    <xf numFmtId="3" fontId="18" fillId="0" borderId="32" xfId="9" applyNumberFormat="1" applyFont="1" applyBorder="1" applyAlignment="1">
      <alignment horizontal="right" vertical="center"/>
    </xf>
    <xf numFmtId="3" fontId="18" fillId="6" borderId="17" xfId="9" applyNumberFormat="1" applyFont="1" applyFill="1" applyBorder="1" applyAlignment="1" applyProtection="1">
      <alignment horizontal="right" vertical="center"/>
      <protection locked="0"/>
    </xf>
    <xf numFmtId="3" fontId="18" fillId="0" borderId="139" xfId="9" applyNumberFormat="1" applyFont="1" applyBorder="1" applyAlignment="1" applyProtection="1">
      <alignment horizontal="right" vertical="center"/>
      <protection locked="0"/>
    </xf>
    <xf numFmtId="3" fontId="18" fillId="0" borderId="72" xfId="9" applyNumberFormat="1" applyFont="1" applyBorder="1" applyAlignment="1" applyProtection="1">
      <alignment horizontal="right" vertical="center"/>
      <protection locked="0"/>
    </xf>
    <xf numFmtId="3" fontId="18" fillId="0" borderId="72" xfId="9" applyNumberFormat="1" applyFont="1" applyBorder="1" applyAlignment="1">
      <alignment horizontal="right" vertical="center"/>
    </xf>
    <xf numFmtId="3" fontId="18" fillId="0" borderId="73" xfId="9" applyNumberFormat="1" applyFont="1" applyBorder="1" applyAlignment="1">
      <alignment horizontal="right" vertical="center"/>
    </xf>
    <xf numFmtId="3" fontId="18" fillId="2" borderId="48" xfId="9" applyNumberFormat="1" applyFont="1" applyFill="1" applyBorder="1" applyAlignment="1" applyProtection="1">
      <alignment horizontal="right" vertical="center"/>
      <protection locked="0"/>
    </xf>
    <xf numFmtId="3" fontId="18" fillId="2" borderId="10" xfId="9" applyNumberFormat="1" applyFont="1" applyFill="1" applyBorder="1" applyAlignment="1">
      <alignment horizontal="right" vertical="center"/>
    </xf>
    <xf numFmtId="3" fontId="15" fillId="0" borderId="35" xfId="10" applyNumberFormat="1" applyFont="1" applyBorder="1" applyAlignment="1">
      <alignment vertical="center"/>
    </xf>
    <xf numFmtId="169" fontId="15" fillId="0" borderId="35" xfId="14" applyNumberFormat="1" applyFont="1" applyBorder="1" applyAlignment="1">
      <alignment vertical="center"/>
    </xf>
    <xf numFmtId="0" fontId="6" fillId="17" borderId="0" xfId="10" applyFont="1" applyFill="1" applyAlignment="1">
      <alignment horizontal="right" vertical="center"/>
    </xf>
    <xf numFmtId="0" fontId="6" fillId="16" borderId="0" xfId="10" applyFont="1" applyFill="1" applyAlignment="1">
      <alignment horizontal="right" vertical="center"/>
    </xf>
    <xf numFmtId="169" fontId="6" fillId="0" borderId="0" xfId="9" applyNumberFormat="1" applyFont="1" applyAlignment="1">
      <alignment vertical="center"/>
    </xf>
    <xf numFmtId="177" fontId="6" fillId="0" borderId="0" xfId="1" applyNumberFormat="1" applyFont="1" applyAlignment="1">
      <alignment vertical="center"/>
    </xf>
    <xf numFmtId="177" fontId="6" fillId="0" borderId="0" xfId="9" applyNumberFormat="1" applyFont="1" applyAlignment="1">
      <alignment vertical="center"/>
    </xf>
    <xf numFmtId="3" fontId="21" fillId="7" borderId="19" xfId="9" applyNumberFormat="1" applyFont="1" applyFill="1" applyBorder="1" applyAlignment="1">
      <alignment horizontal="right" vertical="center"/>
    </xf>
    <xf numFmtId="3" fontId="21" fillId="7" borderId="20" xfId="9" applyNumberFormat="1" applyFont="1" applyFill="1" applyBorder="1" applyAlignment="1">
      <alignment horizontal="right" vertical="center"/>
    </xf>
    <xf numFmtId="3" fontId="21" fillId="7" borderId="5" xfId="9" applyNumberFormat="1" applyFont="1" applyFill="1" applyBorder="1" applyAlignment="1">
      <alignment horizontal="right" vertical="center"/>
    </xf>
    <xf numFmtId="164" fontId="6" fillId="0" borderId="0" xfId="1" applyFont="1" applyBorder="1" applyAlignment="1">
      <alignment vertical="center"/>
    </xf>
    <xf numFmtId="164" fontId="6" fillId="0" borderId="0" xfId="10" applyNumberFormat="1" applyFont="1" applyAlignment="1">
      <alignment vertical="center"/>
    </xf>
    <xf numFmtId="177" fontId="6" fillId="0" borderId="28" xfId="1" applyNumberFormat="1" applyFont="1" applyFill="1" applyBorder="1" applyAlignment="1" applyProtection="1">
      <alignment horizontal="right" vertical="center" wrapText="1" indent="1"/>
      <protection hidden="1"/>
    </xf>
    <xf numFmtId="177" fontId="104" fillId="0" borderId="23" xfId="1" applyNumberFormat="1" applyFont="1" applyFill="1" applyBorder="1" applyAlignment="1" applyProtection="1">
      <alignment horizontal="right" vertical="center" wrapText="1" indent="1"/>
      <protection hidden="1"/>
    </xf>
    <xf numFmtId="177" fontId="104" fillId="0" borderId="2" xfId="1" applyNumberFormat="1" applyFont="1" applyBorder="1" applyAlignment="1" applyProtection="1">
      <alignment horizontal="right" vertical="center" wrapText="1" indent="1"/>
      <protection hidden="1"/>
    </xf>
    <xf numFmtId="177" fontId="6" fillId="0" borderId="3" xfId="1" applyNumberFormat="1" applyFont="1" applyFill="1" applyBorder="1" applyAlignment="1" applyProtection="1">
      <alignment horizontal="right" vertical="center" wrapText="1" indent="1"/>
      <protection hidden="1"/>
    </xf>
    <xf numFmtId="177" fontId="104" fillId="0" borderId="15" xfId="1" applyNumberFormat="1" applyFont="1" applyFill="1" applyBorder="1" applyAlignment="1" applyProtection="1">
      <alignment horizontal="right" vertical="center" wrapText="1" indent="1"/>
      <protection hidden="1"/>
    </xf>
    <xf numFmtId="177" fontId="104" fillId="0" borderId="4" xfId="1" applyNumberFormat="1" applyFont="1" applyBorder="1" applyAlignment="1" applyProtection="1">
      <alignment horizontal="right" vertical="center" wrapText="1" indent="1"/>
      <protection hidden="1"/>
    </xf>
    <xf numFmtId="177" fontId="6" fillId="0" borderId="96" xfId="1" applyNumberFormat="1" applyFont="1" applyFill="1" applyBorder="1" applyAlignment="1" applyProtection="1">
      <alignment horizontal="right" vertical="center" wrapText="1" indent="1"/>
      <protection hidden="1"/>
    </xf>
    <xf numFmtId="177" fontId="104" fillId="0" borderId="12" xfId="1" applyNumberFormat="1" applyFont="1" applyFill="1" applyBorder="1" applyAlignment="1" applyProtection="1">
      <alignment horizontal="right" vertical="center" wrapText="1" indent="1"/>
      <protection hidden="1"/>
    </xf>
    <xf numFmtId="3" fontId="6" fillId="0" borderId="13" xfId="0" applyNumberFormat="1" applyFont="1" applyBorder="1" applyAlignment="1" applyProtection="1">
      <alignment horizontal="right" vertical="center"/>
      <protection locked="0"/>
    </xf>
    <xf numFmtId="3" fontId="8" fillId="0" borderId="0" xfId="0" applyNumberFormat="1" applyFont="1" applyAlignment="1">
      <alignment horizontal="right" vertical="center"/>
    </xf>
    <xf numFmtId="3" fontId="6" fillId="0" borderId="3" xfId="0" applyNumberFormat="1" applyFont="1" applyBorder="1" applyAlignment="1" applyProtection="1">
      <alignment horizontal="right" vertical="center"/>
      <protection locked="0"/>
    </xf>
    <xf numFmtId="3" fontId="88" fillId="0" borderId="0" xfId="9" applyNumberFormat="1" applyFont="1" applyAlignment="1" applyProtection="1">
      <alignment vertical="center"/>
      <protection locked="0"/>
    </xf>
    <xf numFmtId="0" fontId="79" fillId="0" borderId="0" xfId="9" applyFont="1"/>
    <xf numFmtId="0" fontId="6" fillId="0" borderId="0" xfId="9" applyFont="1" applyAlignment="1" applyProtection="1">
      <alignment horizontal="left" vertical="top" wrapText="1"/>
      <protection locked="0"/>
    </xf>
    <xf numFmtId="3" fontId="6" fillId="0" borderId="1" xfId="9" applyNumberFormat="1" applyFont="1" applyBorder="1" applyAlignment="1">
      <alignment horizontal="center" vertical="center"/>
    </xf>
    <xf numFmtId="0" fontId="12" fillId="27" borderId="15" xfId="0" applyFont="1" applyFill="1" applyBorder="1" applyAlignment="1">
      <alignment horizontal="left" vertical="center"/>
    </xf>
    <xf numFmtId="3" fontId="7" fillId="27" borderId="19" xfId="9" applyNumberFormat="1" applyFont="1" applyFill="1" applyBorder="1" applyAlignment="1">
      <alignment horizontal="right" vertical="center"/>
    </xf>
    <xf numFmtId="3" fontId="7" fillId="27" borderId="32" xfId="9" applyNumberFormat="1" applyFont="1" applyFill="1" applyBorder="1" applyAlignment="1">
      <alignment horizontal="right" vertical="center"/>
    </xf>
    <xf numFmtId="3" fontId="7" fillId="27" borderId="13" xfId="9" applyNumberFormat="1" applyFont="1" applyFill="1" applyBorder="1" applyAlignment="1">
      <alignment horizontal="right" vertical="center"/>
    </xf>
    <xf numFmtId="0" fontId="15" fillId="0" borderId="0" xfId="10" applyFont="1" applyAlignment="1">
      <alignment horizontal="right" vertical="center"/>
    </xf>
    <xf numFmtId="0" fontId="6" fillId="13" borderId="0" xfId="10" applyFont="1" applyFill="1" applyAlignment="1">
      <alignment horizontal="right" vertical="center"/>
    </xf>
    <xf numFmtId="0" fontId="6" fillId="8" borderId="0" xfId="10" applyFont="1" applyFill="1" applyAlignment="1">
      <alignment horizontal="right" vertical="center"/>
    </xf>
    <xf numFmtId="0" fontId="6" fillId="28" borderId="0" xfId="10" applyFont="1" applyFill="1" applyAlignment="1">
      <alignment horizontal="right" vertical="center"/>
    </xf>
    <xf numFmtId="3" fontId="24" fillId="10" borderId="13" xfId="10" applyNumberFormat="1" applyFont="1" applyFill="1" applyBorder="1" applyAlignment="1">
      <alignment horizontal="right" vertical="center"/>
    </xf>
    <xf numFmtId="3" fontId="67" fillId="10" borderId="15" xfId="10" applyNumberFormat="1" applyFont="1" applyFill="1" applyBorder="1" applyAlignment="1">
      <alignment horizontal="right" vertical="center"/>
    </xf>
    <xf numFmtId="3" fontId="81" fillId="0" borderId="113" xfId="9" applyNumberFormat="1" applyFont="1" applyBorder="1" applyAlignment="1">
      <alignment vertical="center"/>
    </xf>
    <xf numFmtId="3" fontId="79" fillId="0" borderId="43" xfId="9" applyNumberFormat="1" applyFont="1" applyBorder="1" applyAlignment="1">
      <alignment vertical="center"/>
    </xf>
    <xf numFmtId="169" fontId="79" fillId="0" borderId="31" xfId="14" applyNumberFormat="1" applyFont="1" applyBorder="1" applyAlignment="1">
      <alignment vertical="center"/>
    </xf>
    <xf numFmtId="169" fontId="81" fillId="0" borderId="115" xfId="14" applyNumberFormat="1" applyFont="1" applyBorder="1" applyAlignment="1">
      <alignment vertical="center"/>
    </xf>
    <xf numFmtId="0" fontId="8" fillId="0" borderId="44" xfId="9" applyFont="1" applyBorder="1" applyAlignment="1">
      <alignment vertical="center"/>
    </xf>
    <xf numFmtId="0" fontId="105" fillId="25" borderId="0" xfId="0" applyFont="1" applyFill="1"/>
    <xf numFmtId="0" fontId="0" fillId="21" borderId="0" xfId="0" applyFill="1"/>
    <xf numFmtId="0" fontId="0" fillId="15" borderId="0" xfId="0" applyFill="1"/>
    <xf numFmtId="0" fontId="60" fillId="18" borderId="0" xfId="0" applyFont="1" applyFill="1"/>
    <xf numFmtId="0" fontId="0" fillId="18" borderId="0" xfId="0" applyFill="1"/>
    <xf numFmtId="0" fontId="58" fillId="0" borderId="0" xfId="0" applyFont="1"/>
    <xf numFmtId="166" fontId="6" fillId="0" borderId="30" xfId="9" applyNumberFormat="1" applyFont="1" applyBorder="1" applyAlignment="1">
      <alignment horizontal="right" vertical="center" wrapText="1"/>
    </xf>
    <xf numFmtId="166" fontId="6" fillId="0" borderId="26" xfId="9" applyNumberFormat="1" applyFont="1" applyBorder="1" applyAlignment="1">
      <alignment horizontal="right" vertical="center" wrapText="1"/>
    </xf>
    <xf numFmtId="3" fontId="6" fillId="0" borderId="0" xfId="9" applyNumberFormat="1" applyFont="1" applyAlignment="1">
      <alignment horizontal="center" vertical="center"/>
    </xf>
    <xf numFmtId="0" fontId="6" fillId="8" borderId="0" xfId="9" applyFont="1" applyFill="1" applyAlignment="1">
      <alignment horizontal="center" vertical="center"/>
    </xf>
    <xf numFmtId="0" fontId="79" fillId="0" borderId="0" xfId="9" applyFont="1" applyAlignment="1" applyProtection="1">
      <alignment horizontal="left" vertical="top"/>
      <protection locked="0"/>
    </xf>
    <xf numFmtId="3" fontId="12" fillId="9" borderId="17" xfId="0" applyNumberFormat="1" applyFont="1" applyFill="1" applyBorder="1" applyAlignment="1">
      <alignment horizontal="right" vertical="center"/>
    </xf>
    <xf numFmtId="0" fontId="6" fillId="8" borderId="0" xfId="9" applyFont="1" applyFill="1" applyAlignment="1" applyProtection="1">
      <alignment vertical="center"/>
      <protection locked="0"/>
    </xf>
    <xf numFmtId="0" fontId="6" fillId="8" borderId="0" xfId="9" applyFont="1" applyFill="1" applyAlignment="1">
      <alignment vertical="center"/>
    </xf>
    <xf numFmtId="4" fontId="9" fillId="8" borderId="0" xfId="9" applyNumberFormat="1" applyFont="1" applyFill="1" applyAlignment="1">
      <alignment vertical="center"/>
    </xf>
    <xf numFmtId="0" fontId="9" fillId="8" borderId="0" xfId="9" applyFont="1" applyFill="1" applyAlignment="1">
      <alignment vertical="center"/>
    </xf>
    <xf numFmtId="0" fontId="6" fillId="0" borderId="4" xfId="0" applyFont="1" applyBorder="1" applyAlignment="1">
      <alignment horizontal="justify" vertical="center"/>
    </xf>
    <xf numFmtId="0" fontId="68" fillId="0" borderId="33" xfId="0" applyFont="1" applyBorder="1" applyAlignment="1">
      <alignment horizontal="left" vertical="center"/>
    </xf>
    <xf numFmtId="0" fontId="66" fillId="0" borderId="33" xfId="0" applyFont="1" applyBorder="1" applyAlignment="1">
      <alignment horizontal="right" vertical="center"/>
    </xf>
    <xf numFmtId="0" fontId="101" fillId="0" borderId="32" xfId="0" applyFont="1" applyBorder="1" applyAlignment="1">
      <alignment horizontal="center" vertical="center"/>
    </xf>
    <xf numFmtId="3" fontId="12" fillId="0" borderId="31" xfId="0" applyNumberFormat="1" applyFont="1" applyBorder="1" applyAlignment="1">
      <alignment horizontal="right" vertical="center"/>
    </xf>
    <xf numFmtId="3" fontId="6" fillId="0" borderId="31" xfId="9" applyNumberFormat="1" applyFont="1" applyBorder="1" applyAlignment="1">
      <alignment horizontal="right" vertical="center"/>
    </xf>
    <xf numFmtId="3" fontId="6" fillId="0" borderId="2" xfId="9" applyNumberFormat="1" applyFont="1" applyBorder="1" applyAlignment="1">
      <alignment horizontal="right" vertical="center"/>
    </xf>
    <xf numFmtId="3" fontId="6" fillId="0" borderId="1" xfId="9" applyNumberFormat="1" applyFont="1" applyBorder="1" applyAlignment="1">
      <alignment horizontal="right" vertical="center"/>
    </xf>
    <xf numFmtId="0" fontId="68" fillId="0" borderId="1" xfId="0" applyFont="1" applyBorder="1" applyAlignment="1">
      <alignment horizontal="center" vertical="center"/>
    </xf>
    <xf numFmtId="0" fontId="6" fillId="0" borderId="63" xfId="0" applyFont="1" applyBorder="1" applyAlignment="1">
      <alignment vertical="center"/>
    </xf>
    <xf numFmtId="0" fontId="101" fillId="13" borderId="3" xfId="0" applyFont="1" applyFill="1" applyBorder="1" applyAlignment="1">
      <alignment horizontal="center" vertical="center"/>
    </xf>
    <xf numFmtId="0" fontId="12" fillId="13" borderId="1" xfId="0" applyFont="1" applyFill="1" applyBorder="1" applyAlignment="1">
      <alignment horizontal="center" vertical="center"/>
    </xf>
    <xf numFmtId="0" fontId="68" fillId="13" borderId="33" xfId="0" applyFont="1" applyFill="1" applyBorder="1" applyAlignment="1">
      <alignment horizontal="left" vertical="center" indent="3"/>
    </xf>
    <xf numFmtId="0" fontId="68" fillId="0" borderId="3" xfId="0" applyFont="1" applyBorder="1" applyAlignment="1">
      <alignment horizontal="center" vertical="center"/>
    </xf>
    <xf numFmtId="0" fontId="94" fillId="0" borderId="2" xfId="0" applyFont="1" applyBorder="1" applyAlignment="1">
      <alignment horizontal="center" vertical="center"/>
    </xf>
    <xf numFmtId="3" fontId="6" fillId="0" borderId="24" xfId="9" applyNumberFormat="1" applyFont="1" applyBorder="1" applyAlignment="1" applyProtection="1">
      <alignment horizontal="right" vertical="center"/>
      <protection locked="0"/>
    </xf>
    <xf numFmtId="0" fontId="68" fillId="0" borderId="164" xfId="0" applyFont="1" applyBorder="1" applyAlignment="1">
      <alignment horizontal="left" vertical="center" indent="3"/>
    </xf>
    <xf numFmtId="0" fontId="68" fillId="0" borderId="164" xfId="0" applyFont="1" applyBorder="1" applyAlignment="1">
      <alignment horizontal="left" vertical="center"/>
    </xf>
    <xf numFmtId="0" fontId="66" fillId="0" borderId="164" xfId="0" applyFont="1" applyBorder="1" applyAlignment="1">
      <alignment horizontal="right" vertical="center"/>
    </xf>
    <xf numFmtId="0" fontId="66" fillId="0" borderId="165" xfId="0" applyFont="1" applyBorder="1" applyAlignment="1">
      <alignment horizontal="right" vertical="center"/>
    </xf>
    <xf numFmtId="0" fontId="12" fillId="0" borderId="166" xfId="0" applyFont="1" applyBorder="1" applyAlignment="1">
      <alignment horizontal="center" vertical="center"/>
    </xf>
    <xf numFmtId="3" fontId="6" fillId="0" borderId="167" xfId="9" applyNumberFormat="1" applyFont="1" applyBorder="1" applyAlignment="1" applyProtection="1">
      <alignment horizontal="right" vertical="center"/>
      <protection locked="0"/>
    </xf>
    <xf numFmtId="3" fontId="6" fillId="4" borderId="163" xfId="9" applyNumberFormat="1" applyFont="1" applyFill="1" applyBorder="1" applyAlignment="1">
      <alignment horizontal="right" vertical="center"/>
    </xf>
    <xf numFmtId="3" fontId="6" fillId="0" borderId="163" xfId="9" applyNumberFormat="1" applyFont="1" applyBorder="1" applyAlignment="1" applyProtection="1">
      <alignment horizontal="right" vertical="center"/>
      <protection locked="0"/>
    </xf>
    <xf numFmtId="3" fontId="6" fillId="0" borderId="166" xfId="9" applyNumberFormat="1" applyFont="1" applyBorder="1" applyAlignment="1" applyProtection="1">
      <alignment horizontal="right" vertical="center"/>
      <protection locked="0"/>
    </xf>
    <xf numFmtId="3" fontId="6" fillId="0" borderId="162" xfId="9" applyNumberFormat="1" applyFont="1" applyBorder="1" applyAlignment="1" applyProtection="1">
      <alignment horizontal="right" vertical="center"/>
      <protection locked="0"/>
    </xf>
    <xf numFmtId="3" fontId="6" fillId="4" borderId="168" xfId="9" applyNumberFormat="1" applyFont="1" applyFill="1" applyBorder="1" applyAlignment="1">
      <alignment horizontal="right" vertical="center"/>
    </xf>
    <xf numFmtId="0" fontId="12" fillId="13" borderId="162" xfId="0" applyFont="1" applyFill="1" applyBorder="1" applyAlignment="1">
      <alignment horizontal="center" vertical="center"/>
    </xf>
    <xf numFmtId="168" fontId="81" fillId="0" borderId="28" xfId="9" applyNumberFormat="1" applyFont="1" applyBorder="1" applyAlignment="1" applyProtection="1">
      <alignment horizontal="right" vertical="center" wrapText="1" indent="1"/>
      <protection hidden="1"/>
    </xf>
    <xf numFmtId="168" fontId="81" fillId="0" borderId="23" xfId="9" applyNumberFormat="1" applyFont="1" applyBorder="1" applyAlignment="1" applyProtection="1">
      <alignment horizontal="right" vertical="center" wrapText="1" indent="1"/>
      <protection hidden="1"/>
    </xf>
    <xf numFmtId="168" fontId="81" fillId="0" borderId="3" xfId="9" applyNumberFormat="1" applyFont="1" applyBorder="1" applyAlignment="1" applyProtection="1">
      <alignment horizontal="right" vertical="center" wrapText="1" indent="1"/>
      <protection hidden="1"/>
    </xf>
    <xf numFmtId="168" fontId="81" fillId="0" borderId="15" xfId="9" applyNumberFormat="1" applyFont="1" applyBorder="1" applyAlignment="1" applyProtection="1">
      <alignment horizontal="right" vertical="center" wrapText="1" indent="1"/>
      <protection hidden="1"/>
    </xf>
    <xf numFmtId="168" fontId="81" fillId="0" borderId="96" xfId="9" applyNumberFormat="1" applyFont="1" applyBorder="1" applyAlignment="1" applyProtection="1">
      <alignment horizontal="right" vertical="center" wrapText="1" indent="1"/>
      <protection hidden="1"/>
    </xf>
    <xf numFmtId="168" fontId="81" fillId="0" borderId="12" xfId="9" applyNumberFormat="1" applyFont="1" applyBorder="1" applyAlignment="1" applyProtection="1">
      <alignment horizontal="right" vertical="center" wrapText="1" indent="1"/>
      <protection hidden="1"/>
    </xf>
    <xf numFmtId="174" fontId="92" fillId="0" borderId="0" xfId="10" applyNumberFormat="1" applyFont="1" applyAlignment="1">
      <alignment vertical="center"/>
    </xf>
    <xf numFmtId="166" fontId="12" fillId="0" borderId="0" xfId="9" applyNumberFormat="1" applyFont="1" applyAlignment="1">
      <alignment horizontal="left" vertical="center"/>
    </xf>
    <xf numFmtId="166" fontId="12" fillId="0" borderId="0" xfId="0" applyNumberFormat="1" applyFont="1" applyAlignment="1">
      <alignment vertical="center"/>
    </xf>
    <xf numFmtId="165" fontId="6" fillId="0" borderId="0" xfId="9" applyNumberFormat="1" applyFont="1" applyAlignment="1">
      <alignment vertical="center"/>
    </xf>
    <xf numFmtId="165" fontId="0" fillId="0" borderId="0" xfId="0" applyNumberFormat="1" applyAlignment="1">
      <alignment vertical="center"/>
    </xf>
    <xf numFmtId="165" fontId="65" fillId="0" borderId="0" xfId="0" applyNumberFormat="1" applyFont="1" applyAlignment="1">
      <alignment vertical="center"/>
    </xf>
    <xf numFmtId="3" fontId="54" fillId="0" borderId="0" xfId="9" applyNumberFormat="1" applyFont="1" applyAlignment="1" applyProtection="1">
      <alignment vertical="center"/>
      <protection locked="0"/>
    </xf>
    <xf numFmtId="1" fontId="54" fillId="0" borderId="0" xfId="9" applyNumberFormat="1" applyFont="1" applyProtection="1">
      <protection locked="0"/>
    </xf>
    <xf numFmtId="166" fontId="21" fillId="0" borderId="5" xfId="9" applyNumberFormat="1" applyFont="1" applyBorder="1" applyAlignment="1">
      <alignment horizontal="right" vertical="center" wrapText="1"/>
    </xf>
    <xf numFmtId="166" fontId="21" fillId="0" borderId="6" xfId="9" applyNumberFormat="1" applyFont="1" applyBorder="1" applyAlignment="1">
      <alignment horizontal="right" vertical="center" wrapText="1"/>
    </xf>
    <xf numFmtId="166" fontId="21" fillId="0" borderId="19" xfId="9" applyNumberFormat="1" applyFont="1" applyBorder="1" applyAlignment="1">
      <alignment horizontal="right" vertical="center" wrapText="1"/>
    </xf>
    <xf numFmtId="166" fontId="21" fillId="0" borderId="20" xfId="9" applyNumberFormat="1" applyFont="1" applyBorder="1" applyAlignment="1">
      <alignment horizontal="right" vertical="center" wrapText="1"/>
    </xf>
    <xf numFmtId="166" fontId="20" fillId="0" borderId="5" xfId="0" applyNumberFormat="1" applyFont="1" applyBorder="1" applyAlignment="1">
      <alignment horizontal="right" vertical="center"/>
    </xf>
    <xf numFmtId="166" fontId="20" fillId="0" borderId="20" xfId="0" applyNumberFormat="1" applyFont="1" applyBorder="1" applyAlignment="1">
      <alignment horizontal="right" vertical="center"/>
    </xf>
    <xf numFmtId="166" fontId="20" fillId="0" borderId="18" xfId="0" applyNumberFormat="1" applyFont="1" applyBorder="1" applyAlignment="1">
      <alignment horizontal="right" vertical="center"/>
    </xf>
    <xf numFmtId="166" fontId="20" fillId="0" borderId="45" xfId="0" applyNumberFormat="1" applyFont="1" applyBorder="1" applyAlignment="1">
      <alignment horizontal="right" vertical="center"/>
    </xf>
    <xf numFmtId="170" fontId="9" fillId="0" borderId="0" xfId="9" applyNumberFormat="1" applyFont="1"/>
    <xf numFmtId="3" fontId="54" fillId="0" borderId="0" xfId="9" applyNumberFormat="1" applyFont="1"/>
    <xf numFmtId="4" fontId="9" fillId="0" borderId="0" xfId="9" applyNumberFormat="1" applyFont="1"/>
    <xf numFmtId="3" fontId="9" fillId="0" borderId="0" xfId="9" applyNumberFormat="1" applyFont="1" applyAlignment="1" applyProtection="1">
      <alignment horizontal="right" vertical="top" wrapText="1"/>
      <protection locked="0"/>
    </xf>
    <xf numFmtId="0" fontId="91" fillId="0" borderId="0" xfId="0" applyFont="1"/>
    <xf numFmtId="3" fontId="54" fillId="0" borderId="0" xfId="9" applyNumberFormat="1" applyFont="1" applyProtection="1">
      <protection locked="0"/>
    </xf>
    <xf numFmtId="3" fontId="6" fillId="5" borderId="17" xfId="9" applyNumberFormat="1" applyFont="1" applyFill="1" applyBorder="1" applyAlignment="1" applyProtection="1">
      <alignment horizontal="right" vertical="center"/>
      <protection locked="0"/>
    </xf>
    <xf numFmtId="3" fontId="12" fillId="5" borderId="17" xfId="0" applyNumberFormat="1" applyFont="1" applyFill="1" applyBorder="1" applyAlignment="1" applyProtection="1">
      <alignment horizontal="right" vertical="center"/>
      <protection locked="0"/>
    </xf>
    <xf numFmtId="3" fontId="6" fillId="5" borderId="39" xfId="9" applyNumberFormat="1" applyFont="1" applyFill="1" applyBorder="1" applyAlignment="1" applyProtection="1">
      <alignment horizontal="right" vertical="center"/>
      <protection locked="0"/>
    </xf>
    <xf numFmtId="166" fontId="38" fillId="0" borderId="0" xfId="9" applyNumberFormat="1" applyFont="1" applyAlignment="1">
      <alignment vertical="center"/>
    </xf>
    <xf numFmtId="3" fontId="6" fillId="0" borderId="161" xfId="9" applyNumberFormat="1" applyFont="1" applyBorder="1" applyAlignment="1" applyProtection="1">
      <alignment horizontal="right" vertical="center" wrapText="1" indent="1"/>
      <protection locked="0"/>
    </xf>
    <xf numFmtId="3" fontId="6" fillId="0" borderId="47" xfId="9" applyNumberFormat="1" applyFont="1" applyBorder="1" applyAlignment="1" applyProtection="1">
      <alignment horizontal="right" vertical="center" wrapText="1" indent="1"/>
      <protection locked="0"/>
    </xf>
    <xf numFmtId="3" fontId="6" fillId="0" borderId="120" xfId="9" applyNumberFormat="1" applyFont="1" applyBorder="1" applyAlignment="1" applyProtection="1">
      <alignment horizontal="right" vertical="center" wrapText="1" indent="1"/>
      <protection locked="0"/>
    </xf>
    <xf numFmtId="0" fontId="114" fillId="0" borderId="0" xfId="0" applyFont="1"/>
    <xf numFmtId="4" fontId="6" fillId="0" borderId="0" xfId="9" applyNumberFormat="1" applyFont="1" applyAlignment="1" applyProtection="1">
      <alignment horizontal="right" vertical="center"/>
      <protection locked="0"/>
    </xf>
    <xf numFmtId="0" fontId="94" fillId="0" borderId="0" xfId="10" applyFont="1" applyAlignment="1">
      <alignment vertical="center"/>
    </xf>
    <xf numFmtId="0" fontId="30" fillId="0" borderId="0" xfId="9" applyFont="1"/>
    <xf numFmtId="3" fontId="12" fillId="5" borderId="13" xfId="0" applyNumberFormat="1" applyFont="1" applyFill="1" applyBorder="1" applyAlignment="1" applyProtection="1">
      <alignment horizontal="right" vertical="center"/>
      <protection locked="0"/>
    </xf>
    <xf numFmtId="3" fontId="6" fillId="5" borderId="1" xfId="9" applyNumberFormat="1" applyFont="1" applyFill="1" applyBorder="1" applyAlignment="1" applyProtection="1">
      <alignment horizontal="right" vertical="center"/>
      <protection locked="0"/>
    </xf>
    <xf numFmtId="3" fontId="6" fillId="5" borderId="13" xfId="9" applyNumberFormat="1" applyFont="1" applyFill="1" applyBorder="1" applyAlignment="1" applyProtection="1">
      <alignment horizontal="right" vertical="center"/>
      <protection locked="0"/>
    </xf>
    <xf numFmtId="3" fontId="6" fillId="5" borderId="40" xfId="9" applyNumberFormat="1" applyFont="1" applyFill="1" applyBorder="1" applyAlignment="1" applyProtection="1">
      <alignment horizontal="right" vertical="center"/>
      <protection locked="0"/>
    </xf>
    <xf numFmtId="3" fontId="61" fillId="0" borderId="0" xfId="9" applyNumberFormat="1" applyFont="1" applyAlignment="1" applyProtection="1">
      <alignment vertical="center"/>
      <protection locked="0"/>
    </xf>
    <xf numFmtId="3" fontId="6" fillId="0" borderId="15" xfId="9" applyNumberFormat="1" applyFont="1" applyBorder="1" applyAlignment="1" applyProtection="1">
      <alignment horizontal="right" vertical="center"/>
      <protection locked="0"/>
    </xf>
    <xf numFmtId="3" fontId="6" fillId="6" borderId="15" xfId="9"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3" fillId="9" borderId="15" xfId="0" applyNumberFormat="1" applyFont="1" applyFill="1" applyBorder="1" applyAlignment="1">
      <alignment horizontal="right" vertical="center"/>
    </xf>
    <xf numFmtId="166" fontId="8" fillId="0" borderId="17" xfId="9" applyNumberFormat="1" applyFont="1" applyBorder="1" applyAlignment="1">
      <alignment horizontal="right" vertical="center" wrapText="1"/>
    </xf>
    <xf numFmtId="166" fontId="8" fillId="0" borderId="13" xfId="9" applyNumberFormat="1" applyFont="1" applyBorder="1" applyAlignment="1">
      <alignment horizontal="right" vertical="center" wrapText="1"/>
    </xf>
    <xf numFmtId="0" fontId="6" fillId="0" borderId="0" xfId="9" applyFont="1" applyAlignment="1">
      <alignment horizontal="left"/>
    </xf>
    <xf numFmtId="3" fontId="6" fillId="0" borderId="16" xfId="9" applyNumberFormat="1" applyFont="1" applyBorder="1" applyAlignment="1" applyProtection="1">
      <alignment horizontal="right" vertical="center"/>
      <protection locked="0"/>
    </xf>
    <xf numFmtId="166" fontId="7" fillId="6" borderId="19" xfId="9" applyNumberFormat="1" applyFont="1" applyFill="1" applyBorder="1" applyAlignment="1">
      <alignment horizontal="center" vertical="center"/>
    </xf>
    <xf numFmtId="0" fontId="95" fillId="0" borderId="0" xfId="9" applyFont="1" applyAlignment="1">
      <alignment horizontal="left" vertical="center"/>
    </xf>
    <xf numFmtId="0" fontId="8" fillId="0" borderId="0" xfId="9" applyFont="1" applyAlignment="1">
      <alignment horizontal="center" vertical="center" wrapText="1"/>
    </xf>
    <xf numFmtId="168" fontId="6" fillId="0" borderId="0" xfId="9" applyNumberFormat="1" applyFont="1" applyAlignment="1" applyProtection="1">
      <alignment horizontal="right" vertical="center" wrapText="1" indent="1"/>
      <protection hidden="1"/>
    </xf>
    <xf numFmtId="3" fontId="8" fillId="0" borderId="0" xfId="9" applyNumberFormat="1" applyFont="1" applyAlignment="1" applyProtection="1">
      <alignment horizontal="right" vertical="center" wrapText="1" indent="1"/>
      <protection hidden="1"/>
    </xf>
    <xf numFmtId="171" fontId="88" fillId="22" borderId="0" xfId="9" applyNumberFormat="1" applyFont="1" applyFill="1" applyAlignment="1" applyProtection="1">
      <alignment horizontal="right" vertical="center" indent="1" shrinkToFit="1"/>
      <protection hidden="1"/>
    </xf>
    <xf numFmtId="166" fontId="14" fillId="0" borderId="1" xfId="9" applyNumberFormat="1" applyFont="1" applyBorder="1" applyAlignment="1">
      <alignment horizontal="right" vertical="center"/>
    </xf>
    <xf numFmtId="166" fontId="14" fillId="0" borderId="46" xfId="9" applyNumberFormat="1" applyFont="1" applyBorder="1" applyAlignment="1">
      <alignment horizontal="right" vertical="center"/>
    </xf>
    <xf numFmtId="166" fontId="14" fillId="0" borderId="3" xfId="9" applyNumberFormat="1" applyFont="1" applyBorder="1" applyAlignment="1">
      <alignment horizontal="right" vertical="center"/>
    </xf>
    <xf numFmtId="166" fontId="14" fillId="0" borderId="15" xfId="9" applyNumberFormat="1" applyFont="1" applyBorder="1" applyAlignment="1">
      <alignment horizontal="right" vertical="center"/>
    </xf>
    <xf numFmtId="166" fontId="14" fillId="0" borderId="38" xfId="9" applyNumberFormat="1" applyFont="1" applyBorder="1" applyAlignment="1">
      <alignment horizontal="right" vertical="center"/>
    </xf>
    <xf numFmtId="166" fontId="14" fillId="0" borderId="59" xfId="9" applyNumberFormat="1" applyFont="1" applyBorder="1" applyAlignment="1">
      <alignment horizontal="right" vertical="center"/>
    </xf>
    <xf numFmtId="0" fontId="8" fillId="0" borderId="3" xfId="9" applyFont="1" applyBorder="1" applyAlignment="1">
      <alignment horizontal="center" vertical="center" wrapText="1"/>
    </xf>
    <xf numFmtId="0" fontId="8" fillId="0" borderId="15" xfId="9" applyFont="1" applyBorder="1" applyAlignment="1">
      <alignment horizontal="center" vertical="center" wrapText="1"/>
    </xf>
    <xf numFmtId="0" fontId="8" fillId="0" borderId="17" xfId="9" applyFont="1" applyBorder="1" applyAlignment="1">
      <alignment horizontal="center" vertical="center" wrapText="1"/>
    </xf>
    <xf numFmtId="3" fontId="79" fillId="0" borderId="0" xfId="10" applyNumberFormat="1" applyFont="1" applyAlignment="1">
      <alignment vertical="center"/>
    </xf>
    <xf numFmtId="170" fontId="78" fillId="0" borderId="0" xfId="10" applyNumberFormat="1" applyFont="1" applyAlignment="1">
      <alignment vertical="center"/>
    </xf>
    <xf numFmtId="0" fontId="20" fillId="7" borderId="35" xfId="0" applyFont="1" applyFill="1" applyBorder="1" applyAlignment="1">
      <alignment vertical="center"/>
    </xf>
    <xf numFmtId="0" fontId="20" fillId="7" borderId="133" xfId="0" applyFont="1" applyFill="1" applyBorder="1" applyAlignment="1">
      <alignment vertical="center"/>
    </xf>
    <xf numFmtId="0" fontId="1" fillId="7" borderId="2" xfId="0" applyFont="1" applyFill="1" applyBorder="1" applyAlignment="1">
      <alignment horizontal="center" vertical="center"/>
    </xf>
    <xf numFmtId="3" fontId="21" fillId="7" borderId="31" xfId="9" applyNumberFormat="1" applyFont="1" applyFill="1" applyBorder="1" applyAlignment="1">
      <alignment horizontal="right" vertical="center"/>
    </xf>
    <xf numFmtId="3" fontId="21" fillId="7" borderId="32" xfId="9" applyNumberFormat="1" applyFont="1" applyFill="1" applyBorder="1" applyAlignment="1">
      <alignment horizontal="right" vertical="center"/>
    </xf>
    <xf numFmtId="3" fontId="21" fillId="7" borderId="32" xfId="9" applyNumberFormat="1" applyFont="1" applyFill="1" applyBorder="1" applyAlignment="1" applyProtection="1">
      <alignment horizontal="right" vertical="center"/>
      <protection locked="0"/>
    </xf>
    <xf numFmtId="3" fontId="21" fillId="7" borderId="46" xfId="9" applyNumberFormat="1" applyFont="1" applyFill="1" applyBorder="1" applyAlignment="1">
      <alignment horizontal="right" vertical="center"/>
    </xf>
    <xf numFmtId="3" fontId="21" fillId="7" borderId="1" xfId="9" applyNumberFormat="1" applyFont="1" applyFill="1" applyBorder="1" applyAlignment="1">
      <alignment horizontal="right" vertical="center"/>
    </xf>
    <xf numFmtId="3" fontId="21" fillId="7" borderId="2" xfId="9" applyNumberFormat="1" applyFont="1" applyFill="1" applyBorder="1" applyAlignment="1">
      <alignment horizontal="right" vertical="center"/>
    </xf>
    <xf numFmtId="0" fontId="20" fillId="7" borderId="0" xfId="0" applyFont="1" applyFill="1" applyAlignment="1">
      <alignment vertical="center"/>
    </xf>
    <xf numFmtId="0" fontId="20" fillId="7" borderId="135" xfId="0" applyFont="1" applyFill="1" applyBorder="1" applyAlignment="1">
      <alignment vertical="center"/>
    </xf>
    <xf numFmtId="0" fontId="1" fillId="7" borderId="71" xfId="0" applyFont="1" applyFill="1" applyBorder="1" applyAlignment="1">
      <alignment horizontal="center" vertical="center"/>
    </xf>
    <xf numFmtId="3" fontId="21" fillId="7" borderId="115" xfId="9" applyNumberFormat="1" applyFont="1" applyFill="1" applyBorder="1" applyAlignment="1">
      <alignment horizontal="right" vertical="center"/>
    </xf>
    <xf numFmtId="3" fontId="21" fillId="7" borderId="67" xfId="9" applyNumberFormat="1" applyFont="1" applyFill="1" applyBorder="1" applyAlignment="1">
      <alignment horizontal="right" vertical="center"/>
    </xf>
    <xf numFmtId="3" fontId="21" fillId="7" borderId="67" xfId="9" applyNumberFormat="1" applyFont="1" applyFill="1" applyBorder="1" applyAlignment="1" applyProtection="1">
      <alignment horizontal="right" vertical="center"/>
      <protection locked="0"/>
    </xf>
    <xf numFmtId="3" fontId="21" fillId="7" borderId="65" xfId="9" applyNumberFormat="1" applyFont="1" applyFill="1" applyBorder="1" applyAlignment="1">
      <alignment horizontal="right" vertical="center"/>
    </xf>
    <xf numFmtId="3" fontId="21" fillId="7" borderId="121" xfId="9" applyNumberFormat="1" applyFont="1" applyFill="1" applyBorder="1" applyAlignment="1">
      <alignment horizontal="right" vertical="center"/>
    </xf>
    <xf numFmtId="3" fontId="21" fillId="7" borderId="71" xfId="9" applyNumberFormat="1" applyFont="1" applyFill="1" applyBorder="1" applyAlignment="1">
      <alignment horizontal="right" vertical="center"/>
    </xf>
    <xf numFmtId="0" fontId="20" fillId="7" borderId="41" xfId="0" applyFont="1" applyFill="1" applyBorder="1" applyAlignment="1">
      <alignment vertical="center"/>
    </xf>
    <xf numFmtId="0" fontId="20" fillId="7" borderId="136" xfId="0" applyFont="1" applyFill="1" applyBorder="1" applyAlignment="1">
      <alignment vertical="center"/>
    </xf>
    <xf numFmtId="0" fontId="1" fillId="7" borderId="7" xfId="0" applyFont="1" applyFill="1" applyBorder="1" applyAlignment="1">
      <alignment horizontal="center" vertical="center"/>
    </xf>
    <xf numFmtId="3" fontId="21" fillId="7" borderId="6" xfId="9" applyNumberFormat="1" applyFont="1" applyFill="1" applyBorder="1" applyAlignment="1">
      <alignment horizontal="right" vertical="center"/>
    </xf>
    <xf numFmtId="3" fontId="21" fillId="7" borderId="19" xfId="9" applyNumberFormat="1" applyFont="1" applyFill="1" applyBorder="1" applyAlignment="1" applyProtection="1">
      <alignment horizontal="right" vertical="center"/>
      <protection locked="0"/>
    </xf>
    <xf numFmtId="3" fontId="21" fillId="7" borderId="7" xfId="9" applyNumberFormat="1" applyFont="1" applyFill="1" applyBorder="1" applyAlignment="1">
      <alignment horizontal="right" vertical="center"/>
    </xf>
    <xf numFmtId="0" fontId="104" fillId="0" borderId="66" xfId="0" applyFont="1" applyBorder="1" applyAlignment="1">
      <alignment horizontal="center" vertical="center" wrapText="1"/>
    </xf>
    <xf numFmtId="0" fontId="104" fillId="0" borderId="0" xfId="0" applyFont="1" applyAlignment="1">
      <alignment horizontal="center" vertical="center" wrapText="1"/>
    </xf>
    <xf numFmtId="0" fontId="104" fillId="0" borderId="88" xfId="0" applyFont="1" applyBorder="1" applyAlignment="1">
      <alignment horizontal="center" vertical="center" wrapText="1"/>
    </xf>
    <xf numFmtId="0" fontId="104" fillId="7" borderId="22" xfId="0" applyFont="1" applyFill="1" applyBorder="1" applyAlignment="1">
      <alignment horizontal="center" vertical="center"/>
    </xf>
    <xf numFmtId="0" fontId="104" fillId="0" borderId="32" xfId="0" applyFont="1" applyBorder="1" applyAlignment="1">
      <alignment horizontal="center" vertical="center"/>
    </xf>
    <xf numFmtId="0" fontId="104" fillId="0" borderId="163" xfId="0" applyFont="1" applyBorder="1" applyAlignment="1">
      <alignment horizontal="center" vertical="center"/>
    </xf>
    <xf numFmtId="0" fontId="104" fillId="0" borderId="33" xfId="0" applyFont="1" applyBorder="1" applyAlignment="1">
      <alignment horizontal="left" vertical="center"/>
    </xf>
    <xf numFmtId="0" fontId="104" fillId="7" borderId="32" xfId="0" applyFont="1" applyFill="1" applyBorder="1" applyAlignment="1">
      <alignment horizontal="center" vertical="center"/>
    </xf>
    <xf numFmtId="0" fontId="104" fillId="0" borderId="13" xfId="0" applyFont="1" applyBorder="1" applyAlignment="1">
      <alignment horizontal="center" vertical="center"/>
    </xf>
    <xf numFmtId="0" fontId="68" fillId="13" borderId="33" xfId="0" applyFont="1" applyFill="1" applyBorder="1" applyAlignment="1">
      <alignment horizontal="left" vertical="center"/>
    </xf>
    <xf numFmtId="0" fontId="68" fillId="13" borderId="17" xfId="0" applyFont="1" applyFill="1" applyBorder="1" applyAlignment="1">
      <alignment horizontal="left" vertical="center"/>
    </xf>
    <xf numFmtId="0" fontId="66" fillId="13" borderId="32" xfId="0" applyFont="1" applyFill="1" applyBorder="1" applyAlignment="1">
      <alignment horizontal="right" vertical="center"/>
    </xf>
    <xf numFmtId="0" fontId="66" fillId="13" borderId="132" xfId="0" applyFont="1" applyFill="1" applyBorder="1" applyAlignment="1">
      <alignment horizontal="right" vertical="center"/>
    </xf>
    <xf numFmtId="0" fontId="121" fillId="0" borderId="33" xfId="0" applyFont="1" applyBorder="1" applyAlignment="1">
      <alignment horizontal="left" vertical="center"/>
    </xf>
    <xf numFmtId="0" fontId="104" fillId="0" borderId="33" xfId="0" applyFont="1" applyBorder="1" applyAlignment="1">
      <alignment horizontal="left" vertical="center" wrapText="1"/>
    </xf>
    <xf numFmtId="0" fontId="104" fillId="0" borderId="134" xfId="0" applyFont="1" applyBorder="1" applyAlignment="1">
      <alignment horizontal="left" vertical="center" wrapText="1"/>
    </xf>
    <xf numFmtId="0" fontId="0" fillId="19" borderId="0" xfId="0" applyFill="1"/>
    <xf numFmtId="166" fontId="5" fillId="0" borderId="0" xfId="9" applyNumberFormat="1" applyFont="1" applyAlignment="1">
      <alignment horizontal="center" vertical="center"/>
    </xf>
    <xf numFmtId="0" fontId="122" fillId="0" borderId="119" xfId="0" applyFont="1" applyBorder="1" applyAlignment="1">
      <alignment horizontal="center"/>
    </xf>
    <xf numFmtId="0" fontId="85" fillId="0" borderId="62" xfId="0" applyFont="1" applyBorder="1" applyAlignment="1">
      <alignment horizontal="center"/>
    </xf>
    <xf numFmtId="0" fontId="85" fillId="0" borderId="38" xfId="0" applyFont="1" applyBorder="1" applyAlignment="1">
      <alignment horizontal="center"/>
    </xf>
    <xf numFmtId="0" fontId="85" fillId="0" borderId="40" xfId="0" applyFont="1" applyBorder="1" applyAlignment="1">
      <alignment horizontal="center"/>
    </xf>
    <xf numFmtId="0" fontId="85" fillId="0" borderId="59" xfId="0" applyFont="1" applyBorder="1" applyAlignment="1">
      <alignment horizontal="center"/>
    </xf>
    <xf numFmtId="0" fontId="85" fillId="0" borderId="120" xfId="0" applyFont="1" applyBorder="1" applyAlignment="1">
      <alignment horizontal="center"/>
    </xf>
    <xf numFmtId="0" fontId="85" fillId="0" borderId="121" xfId="0" applyFont="1" applyBorder="1" applyAlignment="1">
      <alignment horizontal="center"/>
    </xf>
    <xf numFmtId="0" fontId="85" fillId="0" borderId="67" xfId="0" applyFont="1" applyBorder="1" applyAlignment="1">
      <alignment horizontal="center"/>
    </xf>
    <xf numFmtId="0" fontId="85" fillId="0" borderId="65" xfId="0" applyFont="1" applyBorder="1" applyAlignment="1">
      <alignment horizontal="center"/>
    </xf>
    <xf numFmtId="3" fontId="95" fillId="29" borderId="0" xfId="10" applyNumberFormat="1" applyFont="1" applyFill="1" applyAlignment="1">
      <alignment vertical="center"/>
    </xf>
    <xf numFmtId="3" fontId="123" fillId="29" borderId="0" xfId="10" applyNumberFormat="1" applyFont="1" applyFill="1" applyAlignment="1">
      <alignment vertical="center"/>
    </xf>
    <xf numFmtId="3" fontId="93" fillId="8" borderId="0" xfId="10" applyNumberFormat="1" applyFont="1" applyFill="1" applyAlignment="1">
      <alignment vertical="center"/>
    </xf>
    <xf numFmtId="3" fontId="81" fillId="8" borderId="0" xfId="10" applyNumberFormat="1" applyFont="1" applyFill="1" applyAlignment="1">
      <alignment vertical="center"/>
    </xf>
    <xf numFmtId="3" fontId="9" fillId="0" borderId="0" xfId="10" applyNumberFormat="1" applyFont="1" applyAlignment="1">
      <alignment vertical="center"/>
    </xf>
    <xf numFmtId="169" fontId="9" fillId="0" borderId="0" xfId="14" applyNumberFormat="1" applyFont="1" applyBorder="1" applyAlignment="1">
      <alignment vertical="center"/>
    </xf>
    <xf numFmtId="10" fontId="6" fillId="0" borderId="0" xfId="14" applyNumberFormat="1" applyFont="1" applyAlignment="1">
      <alignment vertical="center"/>
    </xf>
    <xf numFmtId="3" fontId="12" fillId="0" borderId="110" xfId="13" applyNumberFormat="1" applyFont="1" applyBorder="1" applyAlignment="1" applyProtection="1">
      <alignment horizontal="left" vertical="center"/>
      <protection locked="0"/>
    </xf>
    <xf numFmtId="0" fontId="12" fillId="0" borderId="0" xfId="13" applyFont="1" applyAlignment="1">
      <alignment horizontal="center" vertical="center"/>
    </xf>
    <xf numFmtId="3" fontId="12" fillId="0" borderId="152" xfId="13" applyNumberFormat="1" applyFont="1" applyBorder="1" applyAlignment="1" applyProtection="1">
      <alignment horizontal="center" vertical="center"/>
      <protection locked="0"/>
    </xf>
    <xf numFmtId="0" fontId="12" fillId="0" borderId="14" xfId="13" applyFont="1" applyBorder="1" applyAlignment="1">
      <alignment horizontal="center" vertical="center"/>
    </xf>
    <xf numFmtId="3" fontId="12" fillId="0" borderId="92" xfId="13" applyNumberFormat="1" applyFont="1" applyBorder="1" applyAlignment="1" applyProtection="1">
      <alignment horizontal="center" vertical="center"/>
      <protection locked="0"/>
    </xf>
    <xf numFmtId="0" fontId="12" fillId="0" borderId="43" xfId="13" applyFont="1" applyBorder="1" applyAlignment="1">
      <alignment horizontal="center" vertical="center"/>
    </xf>
    <xf numFmtId="0" fontId="124" fillId="0" borderId="14" xfId="13" applyFont="1" applyBorder="1" applyAlignment="1">
      <alignment horizontal="center" vertical="center"/>
    </xf>
    <xf numFmtId="3" fontId="102" fillId="0" borderId="0" xfId="0" applyNumberFormat="1" applyFont="1"/>
    <xf numFmtId="168" fontId="81" fillId="13" borderId="15" xfId="9" applyNumberFormat="1" applyFont="1" applyFill="1" applyBorder="1" applyAlignment="1" applyProtection="1">
      <alignment horizontal="right" vertical="center" wrapText="1" indent="1"/>
      <protection hidden="1"/>
    </xf>
    <xf numFmtId="3" fontId="9" fillId="13" borderId="0" xfId="10" applyNumberFormat="1" applyFont="1" applyFill="1" applyAlignment="1">
      <alignment vertical="center"/>
    </xf>
    <xf numFmtId="169" fontId="9" fillId="13" borderId="0" xfId="14" applyNumberFormat="1" applyFont="1" applyFill="1" applyBorder="1" applyAlignment="1">
      <alignment vertical="center"/>
    </xf>
    <xf numFmtId="3" fontId="6" fillId="13" borderId="0" xfId="10" applyNumberFormat="1" applyFont="1" applyFill="1" applyAlignment="1">
      <alignment vertical="center"/>
    </xf>
    <xf numFmtId="169" fontId="6" fillId="13" borderId="0" xfId="14" applyNumberFormat="1" applyFont="1" applyFill="1" applyBorder="1" applyAlignment="1">
      <alignment vertical="center"/>
    </xf>
    <xf numFmtId="3" fontId="98" fillId="0" borderId="0" xfId="9" applyNumberFormat="1" applyFont="1" applyAlignment="1">
      <alignment horizontal="right" vertical="center"/>
    </xf>
    <xf numFmtId="0" fontId="104" fillId="0" borderId="0" xfId="9" applyFont="1"/>
    <xf numFmtId="4" fontId="6" fillId="0" borderId="35" xfId="9" applyNumberFormat="1" applyFont="1" applyBorder="1"/>
    <xf numFmtId="3" fontId="6" fillId="0" borderId="35" xfId="9" applyNumberFormat="1" applyFont="1" applyBorder="1"/>
    <xf numFmtId="177" fontId="38" fillId="0" borderId="0" xfId="1" applyNumberFormat="1" applyFont="1" applyAlignment="1">
      <alignment vertical="center"/>
    </xf>
    <xf numFmtId="0" fontId="125" fillId="0" borderId="0" xfId="9" applyFont="1" applyAlignment="1">
      <alignment vertical="center"/>
    </xf>
    <xf numFmtId="0" fontId="94" fillId="0" borderId="0" xfId="9" applyFont="1" applyAlignment="1">
      <alignment vertical="center"/>
    </xf>
    <xf numFmtId="3" fontId="94" fillId="0" borderId="0" xfId="9" applyNumberFormat="1" applyFont="1" applyAlignment="1">
      <alignment vertical="center"/>
    </xf>
    <xf numFmtId="169" fontId="94" fillId="0" borderId="0" xfId="14" applyNumberFormat="1" applyFont="1" applyAlignment="1">
      <alignment vertical="center"/>
    </xf>
    <xf numFmtId="3" fontId="7" fillId="0" borderId="138" xfId="9" applyNumberFormat="1" applyFont="1" applyBorder="1" applyAlignment="1" applyProtection="1">
      <alignment horizontal="right" vertical="center"/>
      <protection locked="0"/>
    </xf>
    <xf numFmtId="3" fontId="7" fillId="0" borderId="72" xfId="9" applyNumberFormat="1" applyFont="1" applyBorder="1" applyAlignment="1" applyProtection="1">
      <alignment horizontal="right" vertical="center"/>
      <protection locked="0"/>
    </xf>
    <xf numFmtId="3" fontId="7" fillId="0" borderId="139" xfId="9" applyNumberFormat="1" applyFont="1" applyBorder="1" applyAlignment="1" applyProtection="1">
      <alignment horizontal="right" vertical="center"/>
      <protection locked="0"/>
    </xf>
    <xf numFmtId="3" fontId="7" fillId="0" borderId="72" xfId="9" applyNumberFormat="1" applyFont="1" applyBorder="1" applyAlignment="1">
      <alignment horizontal="right" vertical="center"/>
    </xf>
    <xf numFmtId="3" fontId="7" fillId="0" borderId="73" xfId="9" applyNumberFormat="1" applyFont="1" applyBorder="1" applyAlignment="1">
      <alignment horizontal="right" vertical="center"/>
    </xf>
    <xf numFmtId="3" fontId="7" fillId="0" borderId="10" xfId="9" applyNumberFormat="1" applyFont="1" applyBorder="1" applyAlignment="1">
      <alignment horizontal="right" vertical="center"/>
    </xf>
    <xf numFmtId="0" fontId="0" fillId="0" borderId="0" xfId="0" applyAlignment="1">
      <alignment wrapText="1"/>
    </xf>
    <xf numFmtId="49" fontId="6" fillId="0" borderId="18" xfId="10" applyNumberFormat="1" applyFont="1" applyBorder="1" applyAlignment="1">
      <alignment horizontal="center" vertical="center" wrapText="1"/>
    </xf>
    <xf numFmtId="49" fontId="6" fillId="0" borderId="6" xfId="10" applyNumberFormat="1" applyFont="1" applyBorder="1" applyAlignment="1">
      <alignment horizontal="center" vertical="center" wrapText="1"/>
    </xf>
    <xf numFmtId="0" fontId="37" fillId="0" borderId="0" xfId="9" applyFont="1" applyAlignment="1">
      <alignment horizontal="left" vertical="center"/>
    </xf>
    <xf numFmtId="0" fontId="6" fillId="0" borderId="88" xfId="10" applyFont="1" applyBorder="1" applyAlignment="1">
      <alignment horizontal="center" vertical="center"/>
    </xf>
    <xf numFmtId="0" fontId="7" fillId="0" borderId="18" xfId="10" applyFont="1" applyBorder="1" applyAlignment="1">
      <alignment horizontal="center" vertical="center" wrapText="1"/>
    </xf>
    <xf numFmtId="0" fontId="7" fillId="0" borderId="41" xfId="10" applyFont="1" applyBorder="1" applyAlignment="1">
      <alignment horizontal="center" vertical="center" wrapText="1"/>
    </xf>
    <xf numFmtId="0" fontId="7" fillId="0" borderId="7" xfId="10" applyFont="1" applyBorder="1" applyAlignment="1">
      <alignment horizontal="center" vertical="center" wrapText="1"/>
    </xf>
    <xf numFmtId="0" fontId="10" fillId="0" borderId="18" xfId="10" applyFont="1" applyBorder="1" applyAlignment="1">
      <alignment vertical="center" wrapText="1"/>
    </xf>
    <xf numFmtId="0" fontId="10" fillId="0" borderId="41" xfId="10" applyFont="1" applyBorder="1" applyAlignment="1">
      <alignment vertical="center" wrapText="1"/>
    </xf>
    <xf numFmtId="0" fontId="10" fillId="0" borderId="7" xfId="10" applyFont="1" applyBorder="1" applyAlignment="1">
      <alignment vertical="center" wrapText="1"/>
    </xf>
    <xf numFmtId="49" fontId="6" fillId="0" borderId="60" xfId="10" applyNumberFormat="1" applyFont="1" applyBorder="1" applyAlignment="1">
      <alignment horizontal="center" vertical="center" wrapText="1"/>
    </xf>
    <xf numFmtId="49" fontId="6" fillId="0" borderId="36" xfId="10" applyNumberFormat="1" applyFont="1" applyBorder="1" applyAlignment="1">
      <alignment horizontal="center" vertical="center" wrapText="1"/>
    </xf>
    <xf numFmtId="3" fontId="8" fillId="0" borderId="14" xfId="10" applyNumberFormat="1" applyFont="1" applyBorder="1" applyAlignment="1">
      <alignment horizontal="center" vertical="center" wrapText="1"/>
    </xf>
    <xf numFmtId="3" fontId="8" fillId="0" borderId="4" xfId="10" applyNumberFormat="1" applyFont="1" applyBorder="1" applyAlignment="1">
      <alignment horizontal="center" vertical="center" wrapText="1"/>
    </xf>
    <xf numFmtId="3" fontId="8" fillId="0" borderId="43" xfId="10" applyNumberFormat="1" applyFont="1" applyBorder="1" applyAlignment="1">
      <alignment horizontal="center" vertical="center"/>
    </xf>
    <xf numFmtId="3" fontId="8" fillId="0" borderId="2" xfId="10" applyNumberFormat="1" applyFont="1" applyBorder="1" applyAlignment="1">
      <alignment horizontal="center" vertical="center"/>
    </xf>
    <xf numFmtId="3" fontId="8" fillId="0" borderId="112" xfId="10" applyNumberFormat="1" applyFont="1" applyBorder="1" applyAlignment="1">
      <alignment horizontal="center" vertical="center"/>
    </xf>
    <xf numFmtId="3" fontId="8" fillId="0" borderId="140" xfId="10" applyNumberFormat="1" applyFont="1" applyBorder="1" applyAlignment="1">
      <alignment horizontal="center" vertical="center"/>
    </xf>
    <xf numFmtId="0" fontId="37" fillId="0" borderId="0" xfId="10" applyFont="1" applyAlignment="1">
      <alignment horizontal="left" vertical="center" wrapText="1"/>
    </xf>
    <xf numFmtId="0" fontId="6" fillId="0" borderId="88" xfId="10" applyFont="1" applyBorder="1" applyAlignment="1">
      <alignment horizontal="center" vertical="center" wrapText="1"/>
    </xf>
    <xf numFmtId="0" fontId="8" fillId="0" borderId="60" xfId="10" applyFont="1" applyBorder="1" applyAlignment="1">
      <alignment horizontal="center" vertical="center" wrapText="1"/>
    </xf>
    <xf numFmtId="0" fontId="8" fillId="0" borderId="70" xfId="10" applyFont="1" applyBorder="1" applyAlignment="1">
      <alignment horizontal="center" vertical="center" wrapText="1"/>
    </xf>
    <xf numFmtId="0" fontId="8" fillId="0" borderId="18" xfId="10" applyFont="1" applyBorder="1" applyAlignment="1">
      <alignment horizontal="left" vertical="center" wrapText="1"/>
    </xf>
    <xf numFmtId="0" fontId="8" fillId="0" borderId="41" xfId="10" applyFont="1" applyBorder="1" applyAlignment="1">
      <alignment horizontal="left" vertical="center" wrapText="1"/>
    </xf>
    <xf numFmtId="0" fontId="8" fillId="0" borderId="7" xfId="10" applyFont="1" applyBorder="1" applyAlignment="1">
      <alignment horizontal="left" vertical="center" wrapText="1"/>
    </xf>
    <xf numFmtId="0" fontId="30" fillId="0" borderId="0" xfId="10" applyFont="1" applyAlignment="1">
      <alignment horizontal="left" vertical="center" wrapText="1"/>
    </xf>
    <xf numFmtId="0" fontId="39" fillId="0" borderId="0" xfId="10" applyFont="1" applyAlignment="1">
      <alignment horizontal="left" vertical="center" wrapText="1"/>
    </xf>
    <xf numFmtId="0" fontId="61" fillId="0" borderId="0" xfId="9" applyFont="1" applyAlignment="1" applyProtection="1">
      <alignment vertical="center" wrapText="1"/>
      <protection locked="0"/>
    </xf>
    <xf numFmtId="0" fontId="106" fillId="0" borderId="95" xfId="9" applyFont="1" applyBorder="1" applyAlignment="1">
      <alignment horizontal="center" vertical="center"/>
    </xf>
    <xf numFmtId="0" fontId="106" fillId="0" borderId="66" xfId="9" applyFont="1" applyBorder="1" applyAlignment="1">
      <alignment horizontal="center" vertical="center"/>
    </xf>
    <xf numFmtId="0" fontId="106" fillId="0" borderId="94" xfId="9" applyFont="1" applyBorder="1" applyAlignment="1">
      <alignment horizontal="center" vertical="center"/>
    </xf>
    <xf numFmtId="0" fontId="106" fillId="0" borderId="69" xfId="9" applyFont="1" applyBorder="1" applyAlignment="1">
      <alignment horizontal="center" vertical="center"/>
    </xf>
    <xf numFmtId="0" fontId="106" fillId="0" borderId="0" xfId="9" applyFont="1" applyAlignment="1">
      <alignment horizontal="center" vertical="center"/>
    </xf>
    <xf numFmtId="0" fontId="106" fillId="0" borderId="71" xfId="9" applyFont="1" applyBorder="1" applyAlignment="1">
      <alignment horizontal="center" vertical="center"/>
    </xf>
    <xf numFmtId="0" fontId="106" fillId="0" borderId="96" xfId="9" applyFont="1" applyBorder="1" applyAlignment="1">
      <alignment horizontal="center" vertical="center"/>
    </xf>
    <xf numFmtId="0" fontId="106" fillId="0" borderId="88" xfId="9" applyFont="1" applyBorder="1" applyAlignment="1">
      <alignment horizontal="center" vertical="center"/>
    </xf>
    <xf numFmtId="0" fontId="106" fillId="0" borderId="8" xfId="9" applyFont="1" applyBorder="1" applyAlignment="1">
      <alignment horizontal="center" vertical="center"/>
    </xf>
    <xf numFmtId="0" fontId="61" fillId="0" borderId="60" xfId="9" applyFont="1" applyBorder="1" applyAlignment="1">
      <alignment horizontal="center" vertical="center" wrapText="1"/>
    </xf>
    <xf numFmtId="0" fontId="61" fillId="0" borderId="34" xfId="9" applyFont="1" applyBorder="1" applyAlignment="1">
      <alignment horizontal="center" vertical="center" wrapText="1"/>
    </xf>
    <xf numFmtId="0" fontId="61" fillId="0" borderId="141" xfId="9" applyFont="1" applyBorder="1" applyAlignment="1">
      <alignment horizontal="center" vertical="center" wrapText="1"/>
    </xf>
    <xf numFmtId="0" fontId="99" fillId="10" borderId="28" xfId="9" applyFont="1" applyFill="1" applyBorder="1" applyAlignment="1">
      <alignment horizontal="center" vertical="center"/>
    </xf>
    <xf numFmtId="0" fontId="99" fillId="10" borderId="22" xfId="9" applyFont="1" applyFill="1" applyBorder="1" applyAlignment="1">
      <alignment horizontal="center" vertical="center"/>
    </xf>
    <xf numFmtId="0" fontId="99" fillId="10" borderId="23" xfId="9" applyFont="1" applyFill="1" applyBorder="1" applyAlignment="1">
      <alignment horizontal="center" vertical="center"/>
    </xf>
    <xf numFmtId="0" fontId="99" fillId="10" borderId="142" xfId="12" applyFont="1" applyFill="1" applyBorder="1" applyAlignment="1">
      <alignment horizontal="left" vertical="center"/>
    </xf>
    <xf numFmtId="0" fontId="99" fillId="10" borderId="143" xfId="12" applyFont="1" applyFill="1" applyBorder="1" applyAlignment="1">
      <alignment horizontal="left" vertical="center"/>
    </xf>
    <xf numFmtId="0" fontId="99" fillId="10" borderId="144" xfId="12" applyFont="1" applyFill="1" applyBorder="1" applyAlignment="1">
      <alignment horizontal="left" vertical="center"/>
    </xf>
    <xf numFmtId="0" fontId="6" fillId="5" borderId="0" xfId="9" applyFont="1" applyFill="1" applyAlignment="1">
      <alignment horizontal="left" vertical="center" wrapText="1"/>
    </xf>
    <xf numFmtId="0" fontId="61" fillId="7" borderId="81" xfId="12" applyFont="1" applyFill="1" applyBorder="1" applyAlignment="1">
      <alignment horizontal="left" vertical="center"/>
    </xf>
    <xf numFmtId="0" fontId="61" fillId="7" borderId="82" xfId="12" applyFont="1" applyFill="1" applyBorder="1" applyAlignment="1">
      <alignment horizontal="left" vertical="center"/>
    </xf>
    <xf numFmtId="0" fontId="99" fillId="10" borderId="145" xfId="12" applyFont="1" applyFill="1" applyBorder="1" applyAlignment="1">
      <alignment horizontal="left" vertical="center"/>
    </xf>
    <xf numFmtId="0" fontId="99" fillId="10" borderId="146" xfId="12" applyFont="1" applyFill="1" applyBorder="1" applyAlignment="1">
      <alignment horizontal="left" vertical="center"/>
    </xf>
    <xf numFmtId="0" fontId="99" fillId="10" borderId="147" xfId="12" applyFont="1" applyFill="1" applyBorder="1" applyAlignment="1">
      <alignment horizontal="left" vertical="center"/>
    </xf>
    <xf numFmtId="0" fontId="12" fillId="0" borderId="0" xfId="0" applyFont="1" applyAlignment="1" applyProtection="1">
      <alignment horizontal="left" vertical="center" wrapText="1"/>
      <protection locked="0"/>
    </xf>
    <xf numFmtId="0" fontId="12" fillId="0" borderId="64" xfId="0" applyFont="1" applyBorder="1" applyAlignment="1">
      <alignment horizontal="center" vertical="center" wrapText="1"/>
    </xf>
    <xf numFmtId="0" fontId="12" fillId="0" borderId="121" xfId="0" applyFont="1" applyBorder="1" applyAlignment="1">
      <alignment horizontal="center" vertical="center" wrapText="1"/>
    </xf>
    <xf numFmtId="0" fontId="12" fillId="0" borderId="9" xfId="0" applyFont="1" applyBorder="1" applyAlignment="1">
      <alignment horizontal="center" vertical="center" wrapText="1"/>
    </xf>
    <xf numFmtId="0" fontId="35" fillId="0" borderId="89" xfId="0" applyFont="1" applyBorder="1" applyAlignment="1">
      <alignment horizontal="center" vertical="center" wrapText="1"/>
    </xf>
    <xf numFmtId="0" fontId="35" fillId="0" borderId="94" xfId="0" applyFont="1" applyBorder="1" applyAlignment="1">
      <alignment horizontal="center" vertical="center"/>
    </xf>
    <xf numFmtId="0" fontId="35" fillId="0" borderId="148" xfId="0" applyFont="1" applyBorder="1" applyAlignment="1">
      <alignment horizontal="center" vertical="center"/>
    </xf>
    <xf numFmtId="0" fontId="35" fillId="0" borderId="71" xfId="0" applyFont="1" applyBorder="1" applyAlignment="1">
      <alignment horizontal="center" vertical="center"/>
    </xf>
    <xf numFmtId="0" fontId="35" fillId="0" borderId="149" xfId="0" applyFont="1" applyBorder="1" applyAlignment="1">
      <alignment horizontal="center" vertical="center"/>
    </xf>
    <xf numFmtId="0" fontId="35" fillId="0" borderId="8" xfId="0" applyFont="1" applyBorder="1" applyAlignment="1">
      <alignment horizontal="center" vertical="center"/>
    </xf>
    <xf numFmtId="0" fontId="12" fillId="0" borderId="28" xfId="0" applyFont="1" applyBorder="1" applyAlignment="1">
      <alignment horizontal="center" vertical="center" wrapText="1" shrinkToFit="1"/>
    </xf>
    <xf numFmtId="0" fontId="12" fillId="0" borderId="22" xfId="0" applyFont="1" applyBorder="1" applyAlignment="1">
      <alignment horizontal="center" vertical="center" wrapText="1" shrinkToFit="1"/>
    </xf>
    <xf numFmtId="0" fontId="12" fillId="0" borderId="150" xfId="0" applyFont="1" applyBorder="1" applyAlignment="1">
      <alignment horizontal="center" vertical="center" wrapText="1" shrinkToFit="1"/>
    </xf>
    <xf numFmtId="0" fontId="12" fillId="0" borderId="66" xfId="0" applyFont="1" applyBorder="1" applyAlignment="1">
      <alignment horizontal="center" vertical="center" wrapText="1" shrinkToFit="1"/>
    </xf>
    <xf numFmtId="0" fontId="12" fillId="0" borderId="128" xfId="0" applyFont="1" applyBorder="1" applyAlignment="1">
      <alignment horizontal="center" vertical="center" wrapText="1" shrinkToFit="1"/>
    </xf>
    <xf numFmtId="0" fontId="12" fillId="0" borderId="129" xfId="0" applyFont="1" applyBorder="1" applyAlignment="1">
      <alignment horizontal="center" vertical="center" wrapText="1" shrinkToFit="1"/>
    </xf>
    <xf numFmtId="0" fontId="12" fillId="0" borderId="46" xfId="0" applyFont="1" applyBorder="1" applyAlignment="1">
      <alignment horizontal="center" vertical="center" wrapText="1" shrinkToFit="1"/>
    </xf>
    <xf numFmtId="0" fontId="12" fillId="0" borderId="64" xfId="0"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13" fillId="0" borderId="129" xfId="0" applyFont="1" applyBorder="1" applyAlignment="1">
      <alignment horizontal="center" vertical="center" wrapText="1" shrinkToFit="1"/>
    </xf>
    <xf numFmtId="0" fontId="13" fillId="0" borderId="46" xfId="0" applyFont="1" applyBorder="1" applyAlignment="1">
      <alignment horizontal="center" vertical="center" wrapText="1" shrinkToFit="1"/>
    </xf>
    <xf numFmtId="0" fontId="13" fillId="9" borderId="92" xfId="0" applyFont="1" applyFill="1" applyBorder="1" applyAlignment="1">
      <alignment horizontal="left" vertical="center"/>
    </xf>
    <xf numFmtId="0" fontId="13" fillId="9" borderId="15" xfId="0" applyFont="1" applyFill="1" applyBorder="1" applyAlignment="1">
      <alignment horizontal="left" vertical="center"/>
    </xf>
    <xf numFmtId="0" fontId="13" fillId="9" borderId="123" xfId="0" applyFont="1" applyFill="1" applyBorder="1" applyAlignment="1">
      <alignment horizontal="left" vertical="center"/>
    </xf>
    <xf numFmtId="0" fontId="13" fillId="9" borderId="4" xfId="0" applyFont="1" applyFill="1" applyBorder="1" applyAlignment="1">
      <alignment horizontal="left" vertical="center"/>
    </xf>
    <xf numFmtId="0" fontId="12" fillId="0" borderId="123"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wrapText="1"/>
    </xf>
    <xf numFmtId="0" fontId="68" fillId="0" borderId="0" xfId="0" applyFont="1" applyAlignment="1">
      <alignment horizontal="left" vertical="center" wrapText="1"/>
    </xf>
    <xf numFmtId="0" fontId="0" fillId="0" borderId="0" xfId="0" applyAlignment="1">
      <alignment vertical="center"/>
    </xf>
    <xf numFmtId="0" fontId="12" fillId="0" borderId="36" xfId="0" applyFont="1" applyBorder="1" applyAlignment="1">
      <alignment horizontal="center" vertical="center" wrapText="1" shrinkToFit="1"/>
    </xf>
    <xf numFmtId="0" fontId="12" fillId="0" borderId="68" xfId="0" applyFont="1" applyBorder="1" applyAlignment="1">
      <alignment horizontal="center" vertical="center" wrapText="1" shrinkToFit="1"/>
    </xf>
    <xf numFmtId="0" fontId="12" fillId="0" borderId="155" xfId="0" applyFont="1" applyBorder="1" applyAlignment="1">
      <alignment horizontal="center" vertical="center" wrapText="1" shrinkToFit="1"/>
    </xf>
    <xf numFmtId="0" fontId="12" fillId="0" borderId="31" xfId="0" applyFont="1" applyBorder="1" applyAlignment="1">
      <alignment horizontal="center" vertical="center" wrapText="1" shrinkToFit="1"/>
    </xf>
    <xf numFmtId="0" fontId="12" fillId="0" borderId="49"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2" fillId="0" borderId="94"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2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151" xfId="0" applyFont="1" applyBorder="1" applyAlignment="1">
      <alignment horizontal="center" vertical="center" wrapText="1"/>
    </xf>
    <xf numFmtId="0" fontId="12" fillId="0" borderId="152" xfId="0" applyFont="1" applyBorder="1" applyAlignment="1">
      <alignment horizontal="center" vertical="center" wrapText="1"/>
    </xf>
    <xf numFmtId="0" fontId="35" fillId="0" borderId="23" xfId="0" applyFont="1" applyBorder="1" applyAlignment="1">
      <alignment horizontal="center" vertical="center"/>
    </xf>
    <xf numFmtId="0" fontId="35" fillId="0" borderId="15" xfId="0" applyFont="1" applyBorder="1" applyAlignment="1">
      <alignment horizontal="center" vertical="center"/>
    </xf>
    <xf numFmtId="0" fontId="35" fillId="0" borderId="59" xfId="0" applyFont="1" applyBorder="1" applyAlignment="1">
      <alignment horizontal="center" vertical="center"/>
    </xf>
    <xf numFmtId="0" fontId="12" fillId="0" borderId="153" xfId="0" applyFont="1" applyBorder="1" applyAlignment="1">
      <alignment horizontal="center" vertical="center" wrapText="1"/>
    </xf>
    <xf numFmtId="0" fontId="12" fillId="0" borderId="154" xfId="0" applyFont="1" applyBorder="1" applyAlignment="1">
      <alignment horizontal="center" vertical="center" wrapText="1"/>
    </xf>
    <xf numFmtId="0" fontId="6" fillId="0" borderId="0" xfId="13" applyFont="1" applyAlignment="1" applyProtection="1">
      <alignment horizontal="left" vertical="center" wrapText="1"/>
      <protection locked="0"/>
    </xf>
    <xf numFmtId="0" fontId="6" fillId="0" borderId="28" xfId="13" applyFont="1" applyBorder="1" applyAlignment="1">
      <alignment horizontal="center" vertical="center" wrapText="1"/>
    </xf>
    <xf numFmtId="0" fontId="6" fillId="0" borderId="3" xfId="13" applyFont="1" applyBorder="1" applyAlignment="1">
      <alignment horizontal="center" vertical="center" wrapText="1"/>
    </xf>
    <xf numFmtId="0" fontId="6" fillId="0" borderId="30" xfId="13" applyFont="1" applyBorder="1" applyAlignment="1">
      <alignment horizontal="center" vertical="center" wrapText="1"/>
    </xf>
    <xf numFmtId="0" fontId="18" fillId="0" borderId="151" xfId="13" applyFont="1" applyBorder="1" applyAlignment="1">
      <alignment horizontal="center" vertical="center" wrapText="1" shrinkToFit="1"/>
    </xf>
    <xf numFmtId="0" fontId="18" fillId="0" borderId="152" xfId="13" applyFont="1" applyBorder="1" applyAlignment="1">
      <alignment horizontal="center" vertical="center" wrapText="1" shrinkToFit="1"/>
    </xf>
    <xf numFmtId="0" fontId="18" fillId="0" borderId="156" xfId="13" applyFont="1" applyBorder="1" applyAlignment="1">
      <alignment horizontal="center" vertical="center" wrapText="1" shrinkToFit="1"/>
    </xf>
    <xf numFmtId="0" fontId="36" fillId="0" borderId="129" xfId="9" applyFont="1" applyBorder="1" applyAlignment="1">
      <alignment horizontal="center" vertical="center"/>
    </xf>
    <xf numFmtId="0" fontId="36" fillId="0" borderId="65" xfId="9" applyFont="1" applyBorder="1" applyAlignment="1">
      <alignment horizontal="center" vertical="center"/>
    </xf>
    <xf numFmtId="0" fontId="36" fillId="0" borderId="12" xfId="9" applyFont="1" applyBorder="1" applyAlignment="1">
      <alignment horizontal="center" vertical="center"/>
    </xf>
    <xf numFmtId="0" fontId="0" fillId="0" borderId="0" xfId="0" applyAlignment="1">
      <alignment horizontal="left" vertical="center" wrapText="1"/>
    </xf>
    <xf numFmtId="49" fontId="6" fillId="0" borderId="0" xfId="13" applyNumberFormat="1" applyFont="1" applyAlignment="1" applyProtection="1">
      <alignment horizontal="left" vertical="center" wrapText="1"/>
      <protection locked="0"/>
    </xf>
    <xf numFmtId="49" fontId="104" fillId="13" borderId="33" xfId="0" applyNumberFormat="1" applyFont="1" applyFill="1" applyBorder="1" applyAlignment="1">
      <alignment horizontal="left" vertical="center" wrapText="1"/>
    </xf>
    <xf numFmtId="0" fontId="0" fillId="13" borderId="33" xfId="0" applyFill="1" applyBorder="1" applyAlignment="1">
      <alignment horizontal="left" vertical="center"/>
    </xf>
    <xf numFmtId="0" fontId="0" fillId="13" borderId="134" xfId="0" applyFill="1" applyBorder="1" applyAlignment="1">
      <alignment horizontal="left" vertical="center"/>
    </xf>
    <xf numFmtId="0" fontId="120" fillId="9" borderId="33" xfId="0" applyFont="1" applyFill="1" applyBorder="1" applyAlignment="1">
      <alignment horizontal="left" vertical="center"/>
    </xf>
    <xf numFmtId="0" fontId="120" fillId="9" borderId="134" xfId="0" applyFont="1" applyFill="1" applyBorder="1" applyAlignment="1">
      <alignment horizontal="left" vertical="center"/>
    </xf>
    <xf numFmtId="0" fontId="12" fillId="0" borderId="33" xfId="0" applyFont="1" applyBorder="1" applyAlignment="1">
      <alignment horizontal="left" vertical="center" wrapText="1"/>
    </xf>
    <xf numFmtId="0" fontId="12" fillId="0" borderId="134" xfId="0" applyFont="1" applyBorder="1" applyAlignment="1">
      <alignment horizontal="left" vertical="center" wrapText="1"/>
    </xf>
    <xf numFmtId="0" fontId="119" fillId="0" borderId="89" xfId="0" applyFont="1" applyBorder="1" applyAlignment="1">
      <alignment horizontal="center" vertical="center" wrapText="1"/>
    </xf>
    <xf numFmtId="0" fontId="119" fillId="0" borderId="66" xfId="0" applyFont="1" applyBorder="1" applyAlignment="1">
      <alignment horizontal="center" vertical="center"/>
    </xf>
    <xf numFmtId="0" fontId="119" fillId="0" borderId="157" xfId="0" applyFont="1" applyBorder="1" applyAlignment="1">
      <alignment horizontal="center" vertical="center"/>
    </xf>
    <xf numFmtId="0" fontId="119" fillId="0" borderId="148" xfId="0" applyFont="1" applyBorder="1" applyAlignment="1">
      <alignment horizontal="center" vertical="center"/>
    </xf>
    <xf numFmtId="0" fontId="119" fillId="0" borderId="0" xfId="0" applyFont="1" applyAlignment="1">
      <alignment horizontal="center" vertical="center"/>
    </xf>
    <xf numFmtId="0" fontId="119" fillId="0" borderId="135" xfId="0" applyFont="1" applyBorder="1" applyAlignment="1">
      <alignment horizontal="center" vertical="center"/>
    </xf>
    <xf numFmtId="0" fontId="119" fillId="0" borderId="149" xfId="0" applyFont="1" applyBorder="1" applyAlignment="1">
      <alignment horizontal="center" vertical="center"/>
    </xf>
    <xf numFmtId="0" fontId="119" fillId="0" borderId="88" xfId="0" applyFont="1" applyBorder="1" applyAlignment="1">
      <alignment horizontal="center" vertical="center"/>
    </xf>
    <xf numFmtId="0" fontId="119" fillId="0" borderId="158" xfId="0" applyFont="1" applyBorder="1" applyAlignment="1">
      <alignment horizontal="center" vertical="center"/>
    </xf>
    <xf numFmtId="0" fontId="104" fillId="0" borderId="33" xfId="0" applyFont="1" applyBorder="1" applyAlignment="1">
      <alignment horizontal="left" vertical="center" wrapText="1"/>
    </xf>
    <xf numFmtId="0" fontId="104" fillId="0" borderId="134" xfId="0" applyFont="1" applyBorder="1" applyAlignment="1">
      <alignment horizontal="left" vertical="center" wrapText="1"/>
    </xf>
    <xf numFmtId="0" fontId="121" fillId="0" borderId="14" xfId="0" applyFont="1" applyBorder="1" applyAlignment="1">
      <alignment horizontal="left" vertical="center"/>
    </xf>
    <xf numFmtId="0" fontId="0" fillId="0" borderId="33" xfId="0" applyBorder="1" applyAlignment="1">
      <alignment horizontal="left" vertical="center"/>
    </xf>
    <xf numFmtId="0" fontId="0" fillId="0" borderId="134" xfId="0" applyBorder="1" applyAlignment="1">
      <alignment horizontal="left" vertical="center"/>
    </xf>
    <xf numFmtId="0" fontId="120" fillId="7" borderId="35" xfId="0" applyFont="1" applyFill="1" applyBorder="1" applyAlignment="1">
      <alignment horizontal="left" vertical="center"/>
    </xf>
    <xf numFmtId="0" fontId="120" fillId="7" borderId="133" xfId="0" applyFont="1" applyFill="1" applyBorder="1" applyAlignment="1">
      <alignment horizontal="left" vertical="center"/>
    </xf>
    <xf numFmtId="0" fontId="12" fillId="0" borderId="6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40" xfId="0" applyFont="1" applyBorder="1" applyAlignment="1">
      <alignment horizontal="center" vertical="center" wrapText="1"/>
    </xf>
    <xf numFmtId="0" fontId="12" fillId="0" borderId="70" xfId="0" applyFont="1" applyBorder="1" applyAlignment="1">
      <alignment horizontal="center" vertical="center" wrapText="1" shrinkToFit="1"/>
    </xf>
    <xf numFmtId="0" fontId="13" fillId="7" borderId="33" xfId="0" applyFont="1" applyFill="1" applyBorder="1" applyAlignment="1">
      <alignment horizontal="left" vertical="center"/>
    </xf>
    <xf numFmtId="0" fontId="13" fillId="7" borderId="134" xfId="0" applyFont="1" applyFill="1" applyBorder="1" applyAlignment="1">
      <alignment horizontal="left" vertical="center"/>
    </xf>
    <xf numFmtId="49" fontId="104" fillId="0" borderId="33" xfId="0" applyNumberFormat="1" applyFont="1" applyBorder="1" applyAlignment="1">
      <alignment horizontal="left" vertical="center" wrapText="1"/>
    </xf>
    <xf numFmtId="0" fontId="13" fillId="9" borderId="33" xfId="0" applyFont="1" applyFill="1" applyBorder="1" applyAlignment="1">
      <alignment horizontal="left" vertical="center"/>
    </xf>
    <xf numFmtId="0" fontId="13" fillId="9" borderId="134" xfId="0" applyFont="1" applyFill="1" applyBorder="1" applyAlignment="1">
      <alignment horizontal="left" vertical="center"/>
    </xf>
    <xf numFmtId="0" fontId="6" fillId="0" borderId="0" xfId="0" applyFont="1" applyAlignment="1">
      <alignment horizontal="left" vertical="center" wrapText="1"/>
    </xf>
    <xf numFmtId="0" fontId="6" fillId="0" borderId="119" xfId="0" applyFont="1" applyBorder="1" applyAlignment="1">
      <alignment horizontal="center" vertical="center" wrapText="1" shrinkToFit="1"/>
    </xf>
    <xf numFmtId="0" fontId="105" fillId="0" borderId="21" xfId="0" applyFont="1" applyBorder="1" applyAlignment="1">
      <alignment horizontal="center" vertical="center" wrapText="1" shrinkToFit="1"/>
    </xf>
    <xf numFmtId="0" fontId="120" fillId="7" borderId="70" xfId="0" applyFont="1" applyFill="1" applyBorder="1" applyAlignment="1">
      <alignment horizontal="left" vertical="center"/>
    </xf>
    <xf numFmtId="0" fontId="120" fillId="7" borderId="155" xfId="0" applyFont="1" applyFill="1" applyBorder="1" applyAlignment="1">
      <alignment horizontal="left" vertical="center"/>
    </xf>
    <xf numFmtId="0" fontId="12" fillId="0" borderId="66"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32" xfId="0" applyFont="1" applyBorder="1" applyAlignment="1">
      <alignment horizontal="center" vertical="center" wrapText="1"/>
    </xf>
    <xf numFmtId="0" fontId="13" fillId="6" borderId="129" xfId="0" applyFont="1" applyFill="1" applyBorder="1" applyAlignment="1">
      <alignment horizontal="center" vertical="center" wrapText="1" shrinkToFit="1"/>
    </xf>
    <xf numFmtId="0" fontId="13" fillId="6" borderId="46" xfId="0" applyFont="1" applyFill="1" applyBorder="1" applyAlignment="1">
      <alignment horizontal="center" vertical="center" wrapText="1" shrinkToFit="1"/>
    </xf>
    <xf numFmtId="0" fontId="0" fillId="0" borderId="0" xfId="0" applyAlignment="1">
      <alignment vertical="center" wrapText="1"/>
    </xf>
    <xf numFmtId="0" fontId="94" fillId="0" borderId="0" xfId="0" applyFont="1" applyAlignment="1">
      <alignment horizontal="left" vertical="center" wrapText="1"/>
    </xf>
    <xf numFmtId="0" fontId="112" fillId="0" borderId="0" xfId="0" applyFont="1" applyAlignment="1">
      <alignment horizontal="left" vertical="center" wrapText="1"/>
    </xf>
    <xf numFmtId="0" fontId="0" fillId="0" borderId="0" xfId="0"/>
    <xf numFmtId="0" fontId="61" fillId="0" borderId="0" xfId="0" applyFont="1" applyAlignment="1">
      <alignment horizontal="left" vertical="center" wrapText="1"/>
    </xf>
    <xf numFmtId="3" fontId="8" fillId="9" borderId="14" xfId="9" applyNumberFormat="1" applyFont="1" applyFill="1" applyBorder="1" applyAlignment="1" applyProtection="1">
      <alignment vertical="center" wrapText="1"/>
      <protection hidden="1"/>
    </xf>
    <xf numFmtId="0" fontId="0" fillId="0" borderId="4" xfId="0" applyBorder="1" applyAlignment="1">
      <alignment vertical="center" wrapText="1"/>
    </xf>
    <xf numFmtId="0" fontId="6" fillId="0" borderId="68" xfId="9" applyFont="1" applyBorder="1" applyAlignment="1">
      <alignment horizontal="center" vertical="center"/>
    </xf>
    <xf numFmtId="0" fontId="0" fillId="0" borderId="70" xfId="0" applyBorder="1" applyAlignment="1">
      <alignment horizontal="center" vertical="center"/>
    </xf>
    <xf numFmtId="0" fontId="0" fillId="0" borderId="61" xfId="0" applyBorder="1" applyAlignment="1">
      <alignment horizontal="center" vertical="center"/>
    </xf>
    <xf numFmtId="0" fontId="6" fillId="0" borderId="112" xfId="9" applyFont="1" applyBorder="1" applyAlignment="1">
      <alignment horizontal="center" vertical="center" wrapText="1"/>
    </xf>
    <xf numFmtId="0" fontId="0" fillId="0" borderId="26" xfId="0" applyBorder="1" applyAlignment="1">
      <alignment horizontal="center" vertical="center" wrapText="1"/>
    </xf>
    <xf numFmtId="3" fontId="6" fillId="0" borderId="14" xfId="9" applyNumberFormat="1" applyFont="1" applyBorder="1" applyAlignment="1">
      <alignment vertical="center" wrapText="1"/>
    </xf>
    <xf numFmtId="3" fontId="0" fillId="0" borderId="17" xfId="0" applyNumberFormat="1" applyBorder="1" applyAlignment="1">
      <alignment vertical="center" wrapText="1"/>
    </xf>
    <xf numFmtId="3" fontId="6" fillId="0" borderId="14" xfId="9" applyNumberFormat="1" applyFont="1" applyBorder="1" applyAlignment="1" applyProtection="1">
      <alignment vertical="center" wrapText="1"/>
      <protection locked="0"/>
    </xf>
    <xf numFmtId="0" fontId="0" fillId="0" borderId="17" xfId="0" applyBorder="1" applyAlignment="1">
      <alignment vertical="center" wrapText="1"/>
    </xf>
    <xf numFmtId="3" fontId="8" fillId="9" borderId="14" xfId="9" applyNumberFormat="1" applyFont="1" applyFill="1" applyBorder="1" applyAlignment="1">
      <alignment vertical="center" wrapText="1"/>
    </xf>
    <xf numFmtId="3" fontId="8" fillId="9" borderId="68" xfId="9" applyNumberFormat="1" applyFont="1" applyFill="1" applyBorder="1" applyAlignment="1" applyProtection="1">
      <alignment vertical="center" wrapText="1"/>
      <protection hidden="1"/>
    </xf>
    <xf numFmtId="0" fontId="0" fillId="0" borderId="61" xfId="0" applyBorder="1" applyAlignment="1">
      <alignment vertical="center" wrapText="1"/>
    </xf>
    <xf numFmtId="0" fontId="0" fillId="0" borderId="140" xfId="0" applyBorder="1" applyAlignment="1">
      <alignment horizontal="center" vertical="center" wrapText="1"/>
    </xf>
    <xf numFmtId="3" fontId="8" fillId="9" borderId="68" xfId="9" applyNumberFormat="1" applyFont="1" applyFill="1" applyBorder="1" applyAlignment="1">
      <alignment vertical="center" wrapText="1"/>
    </xf>
    <xf numFmtId="0" fontId="0" fillId="0" borderId="36" xfId="0" applyBorder="1" applyAlignment="1">
      <alignment vertical="center" wrapText="1"/>
    </xf>
    <xf numFmtId="3" fontId="6" fillId="0" borderId="14" xfId="9" applyNumberFormat="1" applyFont="1" applyBorder="1" applyAlignment="1" applyProtection="1">
      <alignment vertical="center" wrapText="1"/>
      <protection hidden="1"/>
    </xf>
    <xf numFmtId="0" fontId="6" fillId="0" borderId="28" xfId="9" applyFont="1" applyBorder="1" applyAlignment="1">
      <alignment horizontal="center" vertical="center"/>
    </xf>
    <xf numFmtId="0" fontId="6" fillId="0" borderId="30" xfId="9" applyFont="1" applyBorder="1" applyAlignment="1">
      <alignment horizontal="center" vertical="center"/>
    </xf>
    <xf numFmtId="0" fontId="6" fillId="0" borderId="22" xfId="9" applyFont="1" applyBorder="1" applyAlignment="1">
      <alignment horizontal="center" vertical="center" wrapText="1"/>
    </xf>
    <xf numFmtId="0" fontId="6" fillId="0" borderId="16" xfId="9" applyFont="1" applyBorder="1" applyAlignment="1">
      <alignment horizontal="center" vertical="center" wrapText="1"/>
    </xf>
    <xf numFmtId="0" fontId="8" fillId="9" borderId="32" xfId="9" applyFont="1" applyFill="1" applyBorder="1" applyAlignment="1">
      <alignment horizontal="left" vertical="center" wrapText="1"/>
    </xf>
    <xf numFmtId="0" fontId="6" fillId="0" borderId="40" xfId="9" applyFont="1" applyBorder="1" applyAlignment="1">
      <alignment horizontal="center" vertical="center"/>
    </xf>
    <xf numFmtId="0" fontId="6" fillId="0" borderId="67" xfId="9" applyFont="1" applyBorder="1" applyAlignment="1">
      <alignment horizontal="center" vertical="center"/>
    </xf>
    <xf numFmtId="0" fontId="6" fillId="0" borderId="32" xfId="9" applyFont="1" applyBorder="1" applyAlignment="1">
      <alignment horizontal="center" vertical="center"/>
    </xf>
    <xf numFmtId="0" fontId="8" fillId="9" borderId="14" xfId="9" applyFont="1" applyFill="1" applyBorder="1" applyAlignment="1" applyProtection="1">
      <alignment horizontal="left" vertical="center"/>
      <protection locked="0"/>
    </xf>
    <xf numFmtId="0" fontId="8" fillId="9" borderId="17" xfId="9" applyFont="1" applyFill="1" applyBorder="1" applyAlignment="1" applyProtection="1">
      <alignment horizontal="left" vertical="center"/>
      <protection locked="0"/>
    </xf>
    <xf numFmtId="0" fontId="28" fillId="0" borderId="0" xfId="0" applyFont="1" applyAlignment="1">
      <alignment horizontal="left" vertical="center" wrapText="1"/>
    </xf>
    <xf numFmtId="3" fontId="8" fillId="9" borderId="112" xfId="9" applyNumberFormat="1" applyFont="1" applyFill="1" applyBorder="1" applyAlignment="1" applyProtection="1">
      <alignment vertical="center" wrapText="1"/>
      <protection locked="0"/>
    </xf>
    <xf numFmtId="0" fontId="0" fillId="0" borderId="26" xfId="0" applyBorder="1" applyAlignment="1">
      <alignment vertical="center" wrapText="1"/>
    </xf>
    <xf numFmtId="3" fontId="8" fillId="9" borderId="112" xfId="9" applyNumberFormat="1" applyFont="1" applyFill="1" applyBorder="1" applyAlignment="1" applyProtection="1">
      <alignment vertical="center" wrapText="1"/>
      <protection hidden="1"/>
    </xf>
    <xf numFmtId="0" fontId="0" fillId="0" borderId="140" xfId="0" applyBorder="1" applyAlignment="1">
      <alignment vertical="center"/>
    </xf>
    <xf numFmtId="3" fontId="0" fillId="0" borderId="4" xfId="0" applyNumberFormat="1" applyBorder="1" applyAlignment="1">
      <alignment vertical="center" wrapText="1"/>
    </xf>
    <xf numFmtId="0" fontId="8" fillId="9" borderId="14" xfId="9" applyFont="1" applyFill="1" applyBorder="1" applyAlignment="1">
      <alignment horizontal="left" vertical="center"/>
    </xf>
    <xf numFmtId="0" fontId="8" fillId="9" borderId="17" xfId="9" applyFont="1" applyFill="1" applyBorder="1" applyAlignment="1">
      <alignment horizontal="left" vertical="center"/>
    </xf>
    <xf numFmtId="0" fontId="8" fillId="9" borderId="112" xfId="9" applyFont="1" applyFill="1" applyBorder="1" applyAlignment="1">
      <alignment horizontal="left" vertical="center"/>
    </xf>
    <xf numFmtId="0" fontId="8" fillId="9" borderId="26" xfId="9" applyFont="1" applyFill="1" applyBorder="1" applyAlignment="1">
      <alignment horizontal="left" vertical="center"/>
    </xf>
    <xf numFmtId="0" fontId="107" fillId="0" borderId="0" xfId="0" applyFont="1" applyAlignment="1">
      <alignment horizontal="left" vertical="center" wrapText="1"/>
    </xf>
    <xf numFmtId="0" fontId="6" fillId="0" borderId="0" xfId="9" applyFont="1" applyAlignment="1" applyProtection="1">
      <alignment horizontal="left" wrapText="1"/>
      <protection locked="0"/>
    </xf>
    <xf numFmtId="3" fontId="8" fillId="9" borderId="14" xfId="9" applyNumberFormat="1" applyFont="1" applyFill="1" applyBorder="1" applyAlignment="1" applyProtection="1">
      <alignment vertical="center" wrapText="1"/>
      <protection locked="0"/>
    </xf>
    <xf numFmtId="0" fontId="6" fillId="0" borderId="64" xfId="9" applyFont="1" applyBorder="1" applyAlignment="1">
      <alignment horizontal="center" vertical="center" wrapText="1"/>
    </xf>
    <xf numFmtId="0" fontId="6" fillId="0" borderId="9" xfId="9" applyFont="1" applyBorder="1" applyAlignment="1">
      <alignment horizontal="center" vertical="center" wrapText="1"/>
    </xf>
    <xf numFmtId="0" fontId="36" fillId="0" borderId="49" xfId="9" applyFont="1" applyBorder="1" applyAlignment="1">
      <alignment horizontal="center" vertical="center" wrapText="1"/>
    </xf>
    <xf numFmtId="0" fontId="36" fillId="0" borderId="10" xfId="9" applyFont="1" applyBorder="1" applyAlignment="1">
      <alignment horizontal="center" vertical="center" wrapText="1"/>
    </xf>
    <xf numFmtId="0" fontId="6" fillId="0" borderId="0" xfId="9" applyFont="1" applyAlignment="1">
      <alignment horizontal="left" vertical="center" wrapText="1"/>
    </xf>
    <xf numFmtId="0" fontId="6" fillId="0" borderId="33" xfId="9" applyFont="1" applyBorder="1" applyAlignment="1">
      <alignment horizontal="left" vertical="center" wrapText="1"/>
    </xf>
    <xf numFmtId="0" fontId="6" fillId="0" borderId="159" xfId="9" applyFont="1" applyBorder="1" applyAlignment="1">
      <alignment horizontal="left" vertical="center" wrapText="1"/>
    </xf>
    <xf numFmtId="0" fontId="21" fillId="0" borderId="88" xfId="9" applyFont="1" applyBorder="1" applyAlignment="1">
      <alignment horizontal="center" vertical="center"/>
    </xf>
    <xf numFmtId="0" fontId="6" fillId="0" borderId="60" xfId="9" applyFont="1" applyBorder="1" applyAlignment="1">
      <alignment horizontal="center" vertical="center" wrapText="1"/>
    </xf>
    <xf numFmtId="0" fontId="6" fillId="0" borderId="70" xfId="9" applyFont="1" applyBorder="1" applyAlignment="1">
      <alignment horizontal="center" vertical="center" wrapText="1"/>
    </xf>
    <xf numFmtId="0" fontId="6" fillId="0" borderId="61" xfId="9" applyFont="1" applyBorder="1" applyAlignment="1">
      <alignment horizontal="center" vertical="center" wrapText="1"/>
    </xf>
    <xf numFmtId="0" fontId="6" fillId="0" borderId="70" xfId="9" applyFont="1" applyBorder="1" applyAlignment="1">
      <alignment horizontal="center" vertical="center"/>
    </xf>
    <xf numFmtId="0" fontId="6" fillId="0" borderId="61" xfId="9" applyFont="1" applyBorder="1" applyAlignment="1">
      <alignment horizontal="center" vertical="center"/>
    </xf>
    <xf numFmtId="0" fontId="6" fillId="0" borderId="121" xfId="9" applyFont="1" applyBorder="1" applyAlignment="1">
      <alignment horizontal="center" vertical="center" wrapText="1"/>
    </xf>
    <xf numFmtId="0" fontId="6" fillId="0" borderId="1" xfId="9" applyFont="1" applyBorder="1" applyAlignment="1">
      <alignment horizontal="center" vertical="center" wrapText="1"/>
    </xf>
    <xf numFmtId="0" fontId="6" fillId="0" borderId="67" xfId="9" applyFont="1" applyBorder="1" applyAlignment="1">
      <alignment horizontal="center" vertical="center" wrapText="1"/>
    </xf>
    <xf numFmtId="0" fontId="6" fillId="0" borderId="32" xfId="9" applyFont="1" applyBorder="1" applyAlignment="1">
      <alignment horizontal="center" vertical="center" wrapText="1"/>
    </xf>
    <xf numFmtId="0" fontId="6" fillId="0" borderId="14" xfId="9" applyFont="1" applyBorder="1" applyAlignment="1">
      <alignment horizontal="left" vertical="center" wrapText="1"/>
    </xf>
    <xf numFmtId="0" fontId="6" fillId="0" borderId="14" xfId="9" applyFont="1" applyBorder="1" applyAlignment="1">
      <alignment horizontal="left" vertical="center"/>
    </xf>
    <xf numFmtId="0" fontId="6" fillId="0" borderId="33" xfId="9" applyFont="1" applyBorder="1" applyAlignment="1">
      <alignment horizontal="left" vertical="center"/>
    </xf>
    <xf numFmtId="0" fontId="6" fillId="0" borderId="3" xfId="9" applyFont="1" applyBorder="1" applyAlignment="1">
      <alignment horizontal="left" vertical="center" wrapText="1"/>
    </xf>
    <xf numFmtId="0" fontId="6" fillId="0" borderId="13" xfId="9" applyFont="1" applyBorder="1" applyAlignment="1">
      <alignment horizontal="left" vertical="center" wrapText="1"/>
    </xf>
    <xf numFmtId="0" fontId="6" fillId="0" borderId="15" xfId="9" applyFont="1" applyBorder="1" applyAlignment="1">
      <alignment horizontal="left" vertical="center" wrapText="1"/>
    </xf>
    <xf numFmtId="0" fontId="6" fillId="0" borderId="38" xfId="9" applyFont="1" applyBorder="1" applyAlignment="1">
      <alignment horizontal="left" vertical="center" wrapText="1"/>
    </xf>
    <xf numFmtId="0" fontId="6" fillId="0" borderId="40" xfId="9" applyFont="1" applyBorder="1" applyAlignment="1">
      <alignment horizontal="left" vertical="center" wrapText="1"/>
    </xf>
    <xf numFmtId="0" fontId="6" fillId="0" borderId="59" xfId="9" applyFont="1" applyBorder="1" applyAlignment="1">
      <alignment horizontal="left" vertical="center" wrapText="1"/>
    </xf>
    <xf numFmtId="0" fontId="21" fillId="0" borderId="5" xfId="9" applyFont="1" applyBorder="1" applyAlignment="1">
      <alignment horizontal="center" vertical="center"/>
    </xf>
    <xf numFmtId="0" fontId="21" fillId="0" borderId="19" xfId="9" applyFont="1" applyBorder="1" applyAlignment="1">
      <alignment horizontal="center" vertical="center"/>
    </xf>
    <xf numFmtId="0" fontId="21" fillId="0" borderId="20" xfId="9" applyFont="1" applyBorder="1" applyAlignment="1">
      <alignment horizontal="center" vertical="center"/>
    </xf>
    <xf numFmtId="0" fontId="8" fillId="0" borderId="27" xfId="9" applyFont="1" applyBorder="1" applyAlignment="1">
      <alignment horizontal="center" vertical="center" wrapText="1"/>
    </xf>
    <xf numFmtId="0" fontId="8" fillId="0" borderId="24" xfId="9" applyFont="1" applyBorder="1" applyAlignment="1">
      <alignment horizontal="center" vertical="center" wrapText="1"/>
    </xf>
    <xf numFmtId="0" fontId="8" fillId="0" borderId="25" xfId="9" applyFont="1" applyBorder="1" applyAlignment="1">
      <alignment horizontal="center" vertical="center" wrapText="1"/>
    </xf>
    <xf numFmtId="0" fontId="36" fillId="0" borderId="66" xfId="9" applyFont="1" applyBorder="1" applyAlignment="1">
      <alignment horizontal="center" vertical="center" wrapText="1"/>
    </xf>
    <xf numFmtId="0" fontId="36" fillId="0" borderId="0" xfId="9" applyFont="1" applyAlignment="1">
      <alignment horizontal="center" vertical="center" wrapText="1"/>
    </xf>
    <xf numFmtId="0" fontId="36" fillId="0" borderId="88" xfId="9" applyFont="1" applyBorder="1" applyAlignment="1">
      <alignment horizontal="center" vertical="center" wrapText="1"/>
    </xf>
    <xf numFmtId="0" fontId="6" fillId="0" borderId="60" xfId="9" applyFont="1" applyBorder="1" applyAlignment="1">
      <alignment horizontal="center" vertical="center"/>
    </xf>
    <xf numFmtId="0" fontId="6" fillId="0" borderId="34" xfId="9" applyFont="1" applyBorder="1" applyAlignment="1">
      <alignment horizontal="center" vertical="center" wrapText="1"/>
    </xf>
    <xf numFmtId="0" fontId="6" fillId="0" borderId="17" xfId="9" applyFont="1" applyBorder="1" applyAlignment="1">
      <alignment horizontal="center" vertical="center" wrapText="1"/>
    </xf>
    <xf numFmtId="0" fontId="6" fillId="0" borderId="14" xfId="9" applyFont="1" applyBorder="1" applyAlignment="1">
      <alignment horizontal="center" vertical="center" wrapText="1"/>
    </xf>
    <xf numFmtId="0" fontId="6" fillId="0" borderId="4" xfId="9" applyFont="1" applyBorder="1" applyAlignment="1">
      <alignment horizontal="center" vertical="center" wrapText="1"/>
    </xf>
    <xf numFmtId="0" fontId="6" fillId="0" borderId="3" xfId="9" applyFont="1" applyBorder="1" applyAlignment="1">
      <alignment horizontal="center" vertical="center" wrapText="1"/>
    </xf>
    <xf numFmtId="0" fontId="12" fillId="0" borderId="32" xfId="9" applyFont="1" applyBorder="1" applyAlignment="1">
      <alignment horizontal="left" vertical="center"/>
    </xf>
    <xf numFmtId="0" fontId="12" fillId="0" borderId="46" xfId="9" applyFont="1" applyBorder="1" applyAlignment="1">
      <alignment horizontal="left" vertical="center"/>
    </xf>
    <xf numFmtId="0" fontId="12" fillId="0" borderId="14" xfId="9" applyFont="1" applyBorder="1" applyAlignment="1">
      <alignment horizontal="left" vertical="center"/>
    </xf>
    <xf numFmtId="0" fontId="12" fillId="0" borderId="4" xfId="9" applyFont="1" applyBorder="1" applyAlignment="1">
      <alignment horizontal="left" vertical="center"/>
    </xf>
    <xf numFmtId="0" fontId="12" fillId="0" borderId="13" xfId="9" applyFont="1" applyBorder="1" applyAlignment="1">
      <alignment horizontal="left" vertical="center"/>
    </xf>
    <xf numFmtId="0" fontId="12" fillId="0" borderId="15" xfId="9" applyFont="1" applyBorder="1" applyAlignment="1">
      <alignment horizontal="left" vertical="center"/>
    </xf>
    <xf numFmtId="0" fontId="108" fillId="0" borderId="88" xfId="9" applyFont="1" applyBorder="1" applyAlignment="1">
      <alignment horizontal="center" vertical="center"/>
    </xf>
    <xf numFmtId="0" fontId="6" fillId="0" borderId="119" xfId="9" applyFont="1" applyBorder="1" applyAlignment="1">
      <alignment horizontal="center" vertical="center" wrapText="1"/>
    </xf>
    <xf numFmtId="0" fontId="0" fillId="0" borderId="120" xfId="0" applyBorder="1" applyAlignment="1">
      <alignment horizontal="center" vertical="center" wrapText="1"/>
    </xf>
    <xf numFmtId="0" fontId="0" fillId="0" borderId="47" xfId="0" applyBorder="1" applyAlignment="1">
      <alignment horizontal="center" vertical="center" wrapText="1"/>
    </xf>
    <xf numFmtId="0" fontId="36" fillId="0" borderId="95" xfId="9" applyFont="1" applyBorder="1" applyAlignment="1">
      <alignment horizontal="center" vertical="center"/>
    </xf>
    <xf numFmtId="0" fontId="0" fillId="0" borderId="66" xfId="0" applyBorder="1" applyAlignment="1">
      <alignment horizontal="center" vertical="center"/>
    </xf>
    <xf numFmtId="0" fontId="0" fillId="0" borderId="94" xfId="0"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71" xfId="0" applyBorder="1" applyAlignment="1">
      <alignment horizontal="center" vertical="center"/>
    </xf>
    <xf numFmtId="0" fontId="0" fillId="0" borderId="96" xfId="0" applyBorder="1" applyAlignment="1">
      <alignment horizontal="center" vertical="center"/>
    </xf>
    <xf numFmtId="0" fontId="0" fillId="0" borderId="88" xfId="0" applyBorder="1" applyAlignment="1">
      <alignment horizontal="center" vertical="center"/>
    </xf>
    <xf numFmtId="0" fontId="0" fillId="0" borderId="8" xfId="0" applyBorder="1" applyAlignment="1">
      <alignment horizontal="center" vertical="center"/>
    </xf>
    <xf numFmtId="0" fontId="7" fillId="0" borderId="28" xfId="9" applyFont="1" applyBorder="1" applyAlignment="1">
      <alignment horizontal="center" vertical="center" wrapText="1"/>
    </xf>
    <xf numFmtId="0" fontId="7" fillId="0" borderId="22" xfId="9" applyFont="1" applyBorder="1" applyAlignment="1">
      <alignment horizontal="center" vertical="center" wrapText="1"/>
    </xf>
    <xf numFmtId="0" fontId="7" fillId="0" borderId="23" xfId="9" applyFont="1" applyBorder="1" applyAlignment="1">
      <alignment horizontal="center" vertical="center" wrapText="1"/>
    </xf>
    <xf numFmtId="0" fontId="6" fillId="0" borderId="37" xfId="9" applyFont="1" applyBorder="1" applyAlignment="1">
      <alignment horizontal="center" vertical="center" wrapText="1"/>
    </xf>
    <xf numFmtId="0" fontId="6" fillId="0" borderId="35" xfId="9" applyFont="1" applyBorder="1" applyAlignment="1">
      <alignment horizontal="center" vertical="center" wrapText="1"/>
    </xf>
    <xf numFmtId="0" fontId="6" fillId="0" borderId="2" xfId="9" applyFont="1" applyBorder="1" applyAlignment="1">
      <alignment horizontal="center" vertical="center" wrapText="1"/>
    </xf>
    <xf numFmtId="0" fontId="6" fillId="0" borderId="69" xfId="9" applyFont="1" applyBorder="1" applyAlignment="1">
      <alignment horizontal="center" vertical="center" wrapText="1"/>
    </xf>
    <xf numFmtId="0" fontId="6" fillId="0" borderId="71" xfId="9" applyFont="1" applyBorder="1" applyAlignment="1">
      <alignment horizontal="center" vertical="center" wrapText="1"/>
    </xf>
    <xf numFmtId="0" fontId="6" fillId="6" borderId="1" xfId="9" applyFont="1" applyFill="1" applyBorder="1" applyAlignment="1">
      <alignment horizontal="center" vertical="center" wrapText="1"/>
    </xf>
    <xf numFmtId="0" fontId="6" fillId="6" borderId="46" xfId="9" applyFont="1" applyFill="1" applyBorder="1" applyAlignment="1">
      <alignment horizontal="center" vertical="center" wrapText="1"/>
    </xf>
    <xf numFmtId="0" fontId="6" fillId="6" borderId="3" xfId="9" applyFont="1" applyFill="1" applyBorder="1" applyAlignment="1">
      <alignment horizontal="center" vertical="center" wrapText="1"/>
    </xf>
    <xf numFmtId="0" fontId="6" fillId="6" borderId="15" xfId="9" applyFont="1" applyFill="1" applyBorder="1" applyAlignment="1">
      <alignment horizontal="center" vertical="center" wrapText="1"/>
    </xf>
    <xf numFmtId="0" fontId="109" fillId="0" borderId="88" xfId="0" applyFont="1" applyBorder="1" applyAlignment="1">
      <alignment horizontal="center" vertical="center"/>
    </xf>
    <xf numFmtId="0" fontId="8" fillId="0" borderId="70" xfId="9" applyFont="1" applyBorder="1" applyAlignment="1">
      <alignment horizontal="center" vertical="center"/>
    </xf>
    <xf numFmtId="0" fontId="8" fillId="0" borderId="61" xfId="9" applyFont="1" applyBorder="1" applyAlignment="1">
      <alignment horizontal="center" vertical="center"/>
    </xf>
    <xf numFmtId="0" fontId="8" fillId="0" borderId="1" xfId="9" applyFont="1" applyBorder="1" applyAlignment="1">
      <alignment horizontal="center" vertical="center" wrapText="1"/>
    </xf>
    <xf numFmtId="0" fontId="8" fillId="0" borderId="46" xfId="9" applyFont="1" applyBorder="1" applyAlignment="1">
      <alignment horizontal="center" vertical="center" wrapText="1"/>
    </xf>
    <xf numFmtId="0" fontId="8" fillId="0" borderId="3" xfId="9" applyFont="1" applyBorder="1" applyAlignment="1">
      <alignment horizontal="center" vertical="center" wrapText="1"/>
    </xf>
    <xf numFmtId="0" fontId="8" fillId="0" borderId="15" xfId="9" applyFont="1" applyBorder="1" applyAlignment="1">
      <alignment horizontal="center" vertical="center" wrapText="1"/>
    </xf>
    <xf numFmtId="0" fontId="18" fillId="0" borderId="40" xfId="9" applyFont="1" applyBorder="1" applyAlignment="1">
      <alignment horizontal="center" vertical="center" wrapText="1"/>
    </xf>
    <xf numFmtId="0" fontId="18" fillId="0" borderId="32" xfId="9" applyFont="1" applyBorder="1" applyAlignment="1">
      <alignment horizontal="center" vertical="center" wrapText="1"/>
    </xf>
    <xf numFmtId="0" fontId="18" fillId="6" borderId="33" xfId="9" applyFont="1" applyFill="1" applyBorder="1" applyAlignment="1">
      <alignment horizontal="left" vertical="center" wrapText="1"/>
    </xf>
    <xf numFmtId="0" fontId="18" fillId="6" borderId="4" xfId="9" applyFont="1" applyFill="1" applyBorder="1" applyAlignment="1">
      <alignment horizontal="left" vertical="center" wrapText="1"/>
    </xf>
    <xf numFmtId="0" fontId="18" fillId="0" borderId="67" xfId="9" applyFont="1" applyBorder="1" applyAlignment="1">
      <alignment horizontal="center" vertical="center" wrapText="1"/>
    </xf>
    <xf numFmtId="0" fontId="18" fillId="0" borderId="14" xfId="9" applyFont="1" applyBorder="1" applyAlignment="1">
      <alignment horizontal="center" vertical="center" wrapText="1"/>
    </xf>
    <xf numFmtId="0" fontId="18" fillId="0" borderId="33" xfId="9" applyFont="1" applyBorder="1" applyAlignment="1">
      <alignment horizontal="center" vertical="center" wrapText="1"/>
    </xf>
    <xf numFmtId="0" fontId="18" fillId="0" borderId="17" xfId="9" applyFont="1" applyBorder="1" applyAlignment="1">
      <alignment horizontal="center" vertical="center" wrapText="1"/>
    </xf>
    <xf numFmtId="0" fontId="7" fillId="0" borderId="40" xfId="9" applyFont="1" applyBorder="1" applyAlignment="1">
      <alignment horizontal="center" vertical="center"/>
    </xf>
    <xf numFmtId="0" fontId="7" fillId="0" borderId="32" xfId="9" applyFont="1" applyBorder="1" applyAlignment="1">
      <alignment horizontal="center" vertical="center"/>
    </xf>
    <xf numFmtId="2" fontId="18" fillId="0" borderId="40" xfId="9" applyNumberFormat="1" applyFont="1" applyBorder="1" applyAlignment="1">
      <alignment horizontal="center" vertical="center" wrapText="1"/>
    </xf>
    <xf numFmtId="2" fontId="18" fillId="0" borderId="32" xfId="9" applyNumberFormat="1" applyFont="1" applyBorder="1" applyAlignment="1">
      <alignment horizontal="center" vertical="center" wrapText="1"/>
    </xf>
    <xf numFmtId="0" fontId="18" fillId="2" borderId="0" xfId="9" applyFont="1" applyFill="1" applyAlignment="1">
      <alignment horizontal="center" vertical="center" wrapText="1"/>
    </xf>
    <xf numFmtId="0" fontId="18" fillId="2" borderId="88" xfId="9" applyFont="1" applyFill="1" applyBorder="1" applyAlignment="1">
      <alignment horizontal="center" vertical="center" wrapText="1"/>
    </xf>
    <xf numFmtId="0" fontId="10" fillId="0" borderId="112" xfId="9" applyFont="1" applyBorder="1" applyAlignment="1">
      <alignment horizontal="center" vertical="center" wrapText="1"/>
    </xf>
    <xf numFmtId="0" fontId="10" fillId="0" borderId="159" xfId="9" applyFont="1" applyBorder="1" applyAlignment="1">
      <alignment horizontal="center" vertical="center" wrapText="1"/>
    </xf>
    <xf numFmtId="0" fontId="10" fillId="0" borderId="26" xfId="9" applyFont="1" applyBorder="1" applyAlignment="1">
      <alignment horizontal="center" vertical="center" wrapText="1"/>
    </xf>
    <xf numFmtId="0" fontId="18" fillId="6" borderId="35" xfId="9" applyFont="1" applyFill="1" applyBorder="1" applyAlignment="1">
      <alignment horizontal="left" vertical="center" wrapText="1"/>
    </xf>
    <xf numFmtId="0" fontId="18" fillId="6" borderId="2" xfId="9" applyFont="1" applyFill="1" applyBorder="1" applyAlignment="1">
      <alignment horizontal="left" vertical="center" wrapText="1"/>
    </xf>
    <xf numFmtId="0" fontId="18" fillId="6" borderId="33" xfId="9" applyFont="1" applyFill="1" applyBorder="1" applyAlignment="1">
      <alignment vertical="center" wrapText="1"/>
    </xf>
    <xf numFmtId="0" fontId="18" fillId="6" borderId="4" xfId="9" applyFont="1" applyFill="1" applyBorder="1" applyAlignment="1">
      <alignment vertical="center" wrapText="1"/>
    </xf>
    <xf numFmtId="0" fontId="6" fillId="0" borderId="64" xfId="9" applyFont="1" applyBorder="1" applyAlignment="1">
      <alignment horizontal="center" vertical="center"/>
    </xf>
    <xf numFmtId="0" fontId="6" fillId="0" borderId="121" xfId="9" applyFont="1" applyBorder="1" applyAlignment="1">
      <alignment horizontal="center" vertical="center"/>
    </xf>
    <xf numFmtId="0" fontId="6" fillId="0" borderId="9" xfId="9" applyFont="1" applyBorder="1" applyAlignment="1">
      <alignment horizontal="center" vertical="center"/>
    </xf>
    <xf numFmtId="0" fontId="39" fillId="0" borderId="66" xfId="9" applyFont="1" applyBorder="1" applyAlignment="1">
      <alignment horizontal="center" vertical="center"/>
    </xf>
    <xf numFmtId="0" fontId="39" fillId="0" borderId="128" xfId="9" applyFont="1" applyBorder="1" applyAlignment="1">
      <alignment horizontal="center" vertical="center"/>
    </xf>
    <xf numFmtId="0" fontId="39" fillId="0" borderId="0" xfId="9" applyFont="1" applyAlignment="1">
      <alignment horizontal="center" vertical="center"/>
    </xf>
    <xf numFmtId="0" fontId="39" fillId="0" borderId="115" xfId="9" applyFont="1" applyBorder="1" applyAlignment="1">
      <alignment horizontal="center" vertical="center"/>
    </xf>
    <xf numFmtId="0" fontId="39" fillId="0" borderId="88" xfId="9" applyFont="1" applyBorder="1" applyAlignment="1">
      <alignment horizontal="center" vertical="center"/>
    </xf>
    <xf numFmtId="0" fontId="39" fillId="0" borderId="48" xfId="9" applyFont="1" applyBorder="1" applyAlignment="1">
      <alignment horizontal="center" vertical="center"/>
    </xf>
    <xf numFmtId="0" fontId="36" fillId="0" borderId="68" xfId="9" applyFont="1" applyBorder="1" applyAlignment="1">
      <alignment horizontal="center" vertical="center"/>
    </xf>
    <xf numFmtId="0" fontId="36" fillId="0" borderId="70" xfId="9" applyFont="1" applyBorder="1" applyAlignment="1">
      <alignment horizontal="center" vertical="center"/>
    </xf>
    <xf numFmtId="0" fontId="36" fillId="0" borderId="36" xfId="9" applyFont="1" applyBorder="1" applyAlignment="1">
      <alignment horizontal="center" vertical="center"/>
    </xf>
    <xf numFmtId="0" fontId="36" fillId="0" borderId="68" xfId="9" applyFont="1" applyBorder="1" applyAlignment="1">
      <alignment horizontal="center" vertical="center" wrapText="1"/>
    </xf>
    <xf numFmtId="0" fontId="36" fillId="0" borderId="61" xfId="9" applyFont="1" applyBorder="1" applyAlignment="1">
      <alignment horizontal="center" vertical="center" wrapText="1"/>
    </xf>
    <xf numFmtId="0" fontId="18" fillId="0" borderId="71" xfId="9" applyFont="1" applyBorder="1" applyAlignment="1">
      <alignment horizontal="center" vertical="center" wrapText="1"/>
    </xf>
    <xf numFmtId="0" fontId="18" fillId="0" borderId="2" xfId="9" applyFont="1" applyBorder="1" applyAlignment="1">
      <alignment horizontal="center" vertical="center" wrapText="1"/>
    </xf>
    <xf numFmtId="0" fontId="8" fillId="0" borderId="60" xfId="9" applyFont="1" applyBorder="1" applyAlignment="1" applyProtection="1">
      <alignment horizontal="center" vertical="center" wrapText="1"/>
      <protection locked="0"/>
    </xf>
    <xf numFmtId="0" fontId="8" fillId="0" borderId="61" xfId="9" applyFont="1" applyBorder="1" applyAlignment="1" applyProtection="1">
      <alignment horizontal="center" vertical="center" wrapText="1"/>
      <protection locked="0"/>
    </xf>
    <xf numFmtId="0" fontId="6" fillId="0" borderId="121" xfId="9" applyFont="1" applyBorder="1" applyAlignment="1" applyProtection="1">
      <alignment horizontal="center" vertical="center" wrapText="1"/>
      <protection locked="0"/>
    </xf>
    <xf numFmtId="0" fontId="6" fillId="0" borderId="1" xfId="9" applyFont="1" applyBorder="1" applyAlignment="1" applyProtection="1">
      <alignment horizontal="center" vertical="center" wrapText="1"/>
      <protection locked="0"/>
    </xf>
    <xf numFmtId="0" fontId="6" fillId="0" borderId="71" xfId="9" applyFont="1" applyBorder="1" applyAlignment="1" applyProtection="1">
      <alignment horizontal="center" vertical="center" wrapText="1"/>
      <protection locked="0"/>
    </xf>
    <xf numFmtId="0" fontId="6" fillId="0" borderId="2" xfId="9" applyFont="1" applyBorder="1" applyAlignment="1" applyProtection="1">
      <alignment horizontal="center" vertical="center" wrapText="1"/>
      <protection locked="0"/>
    </xf>
    <xf numFmtId="0" fontId="6" fillId="0" borderId="34" xfId="9" applyFont="1" applyBorder="1" applyAlignment="1" applyProtection="1">
      <alignment horizontal="center" vertical="center" wrapText="1"/>
      <protection locked="0"/>
    </xf>
    <xf numFmtId="0" fontId="6" fillId="0" borderId="33" xfId="9" applyFont="1" applyBorder="1" applyAlignment="1" applyProtection="1">
      <alignment horizontal="center" vertical="center" wrapText="1"/>
      <protection locked="0"/>
    </xf>
    <xf numFmtId="0" fontId="6" fillId="0" borderId="17" xfId="9" applyFont="1" applyBorder="1" applyAlignment="1" applyProtection="1">
      <alignment horizontal="center" vertical="center" wrapText="1"/>
      <protection locked="0"/>
    </xf>
    <xf numFmtId="0" fontId="6" fillId="0" borderId="33" xfId="9" applyFont="1" applyBorder="1" applyAlignment="1" applyProtection="1">
      <alignment horizontal="center" vertical="center"/>
      <protection locked="0"/>
    </xf>
    <xf numFmtId="0" fontId="6" fillId="0" borderId="4" xfId="9" applyFont="1" applyBorder="1" applyAlignment="1" applyProtection="1">
      <alignment horizontal="center" vertical="center"/>
      <protection locked="0"/>
    </xf>
    <xf numFmtId="0" fontId="6" fillId="0" borderId="129" xfId="9" applyFont="1" applyBorder="1" applyAlignment="1" applyProtection="1">
      <alignment horizontal="center" vertical="center" wrapText="1"/>
      <protection locked="0"/>
    </xf>
    <xf numFmtId="0" fontId="6" fillId="0" borderId="65" xfId="9" applyFont="1" applyBorder="1" applyAlignment="1" applyProtection="1">
      <alignment horizontal="center" vertical="center" wrapText="1"/>
      <protection locked="0"/>
    </xf>
    <xf numFmtId="0" fontId="6" fillId="0" borderId="46" xfId="9" applyFont="1" applyBorder="1" applyAlignment="1" applyProtection="1">
      <alignment horizontal="center" vertical="center" wrapText="1"/>
      <protection locked="0"/>
    </xf>
    <xf numFmtId="0" fontId="8" fillId="0" borderId="70" xfId="9" applyFont="1" applyBorder="1" applyAlignment="1" applyProtection="1">
      <alignment horizontal="center" vertical="center"/>
      <protection locked="0"/>
    </xf>
    <xf numFmtId="0" fontId="8" fillId="0" borderId="61" xfId="9" applyFont="1" applyBorder="1" applyAlignment="1" applyProtection="1">
      <alignment horizontal="center" vertical="center"/>
      <protection locked="0"/>
    </xf>
    <xf numFmtId="0" fontId="6" fillId="0" borderId="13" xfId="9" applyFont="1" applyBorder="1" applyAlignment="1" applyProtection="1">
      <alignment horizontal="center" vertical="center"/>
      <protection locked="0"/>
    </xf>
    <xf numFmtId="0" fontId="6" fillId="0" borderId="61" xfId="9" applyFont="1" applyBorder="1" applyAlignment="1" applyProtection="1">
      <alignment horizontal="center" vertical="center" wrapText="1"/>
      <protection locked="0"/>
    </xf>
    <xf numFmtId="0" fontId="6" fillId="0" borderId="0" xfId="9" applyFont="1" applyAlignment="1">
      <alignment vertical="center" wrapText="1"/>
    </xf>
    <xf numFmtId="0" fontId="36" fillId="0" borderId="22" xfId="9" applyFont="1" applyBorder="1" applyAlignment="1">
      <alignment horizontal="center" vertical="center" wrapText="1"/>
    </xf>
    <xf numFmtId="0" fontId="36" fillId="0" borderId="13" xfId="9" applyFont="1" applyBorder="1" applyAlignment="1">
      <alignment horizontal="center" vertical="center" wrapText="1"/>
    </xf>
    <xf numFmtId="0" fontId="36" fillId="0" borderId="14" xfId="9" applyFont="1" applyBorder="1" applyAlignment="1">
      <alignment horizontal="center" vertical="center" wrapText="1"/>
    </xf>
    <xf numFmtId="0" fontId="36" fillId="0" borderId="16" xfId="9" applyFont="1" applyBorder="1" applyAlignment="1">
      <alignment horizontal="center" vertical="center" wrapText="1"/>
    </xf>
    <xf numFmtId="0" fontId="36" fillId="0" borderId="112" xfId="9" applyFont="1" applyBorder="1" applyAlignment="1">
      <alignment horizontal="center" vertical="center" wrapText="1"/>
    </xf>
    <xf numFmtId="0" fontId="6" fillId="0" borderId="22" xfId="9" applyFont="1" applyBorder="1" applyAlignment="1">
      <alignment horizontal="center" vertical="center"/>
    </xf>
    <xf numFmtId="0" fontId="6" fillId="2" borderId="64" xfId="9" applyFont="1" applyFill="1" applyBorder="1" applyAlignment="1">
      <alignment horizontal="center" vertical="center" wrapText="1"/>
    </xf>
    <xf numFmtId="0" fontId="0" fillId="0" borderId="121" xfId="0" applyBorder="1" applyAlignment="1">
      <alignment horizontal="center" vertical="center" wrapText="1"/>
    </xf>
    <xf numFmtId="0" fontId="0" fillId="0" borderId="9" xfId="0" applyBorder="1" applyAlignment="1">
      <alignment horizontal="center" vertical="center" wrapText="1"/>
    </xf>
    <xf numFmtId="0" fontId="61" fillId="0" borderId="119" xfId="9" applyFont="1" applyBorder="1" applyAlignment="1" applyProtection="1">
      <alignment horizontal="center" vertical="center" wrapText="1"/>
      <protection locked="0"/>
    </xf>
    <xf numFmtId="0" fontId="61" fillId="0" borderId="120" xfId="9" applyFont="1" applyBorder="1" applyAlignment="1" applyProtection="1">
      <alignment horizontal="center" vertical="center" wrapText="1"/>
      <protection locked="0"/>
    </xf>
    <xf numFmtId="0" fontId="61" fillId="0" borderId="21" xfId="9" applyFont="1" applyBorder="1" applyAlignment="1" applyProtection="1">
      <alignment horizontal="center" vertical="center" wrapText="1"/>
      <protection locked="0"/>
    </xf>
    <xf numFmtId="0" fontId="8" fillId="0" borderId="18" xfId="9" applyFont="1" applyBorder="1" applyAlignment="1">
      <alignment horizontal="left" vertical="center"/>
    </xf>
    <xf numFmtId="0" fontId="8" fillId="0" borderId="6" xfId="9" applyFont="1" applyBorder="1" applyAlignment="1">
      <alignment horizontal="left" vertical="center"/>
    </xf>
    <xf numFmtId="0" fontId="6" fillId="0" borderId="3" xfId="9" applyFont="1" applyBorder="1" applyAlignment="1">
      <alignment horizontal="center" vertical="center"/>
    </xf>
    <xf numFmtId="0" fontId="8" fillId="0" borderId="7" xfId="9" applyFont="1" applyBorder="1" applyAlignment="1">
      <alignment horizontal="left" vertical="center"/>
    </xf>
    <xf numFmtId="0" fontId="6" fillId="0" borderId="34" xfId="9" applyFont="1" applyBorder="1" applyAlignment="1">
      <alignment horizontal="center" vertical="center"/>
    </xf>
    <xf numFmtId="0" fontId="6" fillId="0" borderId="141" xfId="9" applyFont="1" applyBorder="1" applyAlignment="1">
      <alignment horizontal="center" vertical="center"/>
    </xf>
    <xf numFmtId="0" fontId="6" fillId="0" borderId="120" xfId="9" applyFont="1" applyBorder="1" applyAlignment="1">
      <alignment horizontal="center" vertical="center"/>
    </xf>
    <xf numFmtId="0" fontId="6" fillId="0" borderId="47" xfId="9" applyFont="1" applyBorder="1" applyAlignment="1">
      <alignment horizontal="center" vertical="center"/>
    </xf>
    <xf numFmtId="0" fontId="23" fillId="0" borderId="0" xfId="9" applyFont="1" applyAlignment="1" applyProtection="1">
      <alignment wrapText="1"/>
      <protection locked="0"/>
    </xf>
    <xf numFmtId="0" fontId="91" fillId="0" borderId="0" xfId="9" applyFont="1" applyAlignment="1" applyProtection="1">
      <alignment wrapText="1"/>
      <protection locked="0"/>
    </xf>
    <xf numFmtId="0" fontId="6" fillId="0" borderId="64" xfId="9" applyFont="1" applyBorder="1" applyAlignment="1">
      <alignment horizontal="left" vertical="center"/>
    </xf>
    <xf numFmtId="0" fontId="6" fillId="0" borderId="121" xfId="9" applyFont="1" applyBorder="1" applyAlignment="1">
      <alignment horizontal="left" vertical="center"/>
    </xf>
    <xf numFmtId="0" fontId="6" fillId="0" borderId="9" xfId="9" applyFont="1" applyBorder="1" applyAlignment="1">
      <alignment horizontal="left" vertical="center"/>
    </xf>
    <xf numFmtId="0" fontId="13" fillId="0" borderId="18" xfId="9" applyFont="1" applyBorder="1" applyAlignment="1">
      <alignment horizontal="left" vertical="center" wrapText="1"/>
    </xf>
    <xf numFmtId="0" fontId="13" fillId="0" borderId="6" xfId="9" applyFont="1" applyBorder="1" applyAlignment="1">
      <alignment horizontal="left" vertical="center" wrapText="1"/>
    </xf>
    <xf numFmtId="0" fontId="6" fillId="0" borderId="1" xfId="9" applyFont="1" applyBorder="1" applyAlignment="1">
      <alignment horizontal="center" vertical="center"/>
    </xf>
    <xf numFmtId="0" fontId="6" fillId="0" borderId="121" xfId="9" applyFont="1" applyBorder="1" applyAlignment="1">
      <alignment vertical="center"/>
    </xf>
    <xf numFmtId="0" fontId="6" fillId="0" borderId="9" xfId="9" applyFont="1" applyBorder="1" applyAlignment="1">
      <alignment vertical="center"/>
    </xf>
    <xf numFmtId="0" fontId="8" fillId="0" borderId="45" xfId="9" applyFont="1" applyBorder="1" applyAlignment="1">
      <alignment vertical="center"/>
    </xf>
    <xf numFmtId="0" fontId="58" fillId="0" borderId="6" xfId="0" applyFont="1" applyBorder="1" applyAlignment="1">
      <alignment vertical="center"/>
    </xf>
    <xf numFmtId="0" fontId="6" fillId="0" borderId="37" xfId="9" applyFont="1" applyBorder="1" applyAlignment="1">
      <alignment horizontal="center" vertical="center"/>
    </xf>
    <xf numFmtId="0" fontId="6" fillId="0" borderId="95" xfId="9" applyFont="1" applyBorder="1" applyAlignment="1">
      <alignment horizontal="center" vertical="center"/>
    </xf>
    <xf numFmtId="0" fontId="6" fillId="0" borderId="69" xfId="9" applyFont="1" applyBorder="1" applyAlignment="1">
      <alignment horizontal="center" vertical="center"/>
    </xf>
    <xf numFmtId="0" fontId="6" fillId="0" borderId="96" xfId="9" applyFont="1" applyBorder="1" applyAlignment="1">
      <alignment horizontal="center" vertical="center"/>
    </xf>
    <xf numFmtId="0" fontId="68" fillId="0" borderId="0" xfId="0" applyFont="1" applyAlignment="1">
      <alignment horizontal="left" vertical="center"/>
    </xf>
    <xf numFmtId="0" fontId="101" fillId="0" borderId="0" xfId="0" applyFont="1" applyAlignment="1">
      <alignment horizontal="left" vertical="center"/>
    </xf>
    <xf numFmtId="0" fontId="122" fillId="0" borderId="28" xfId="0" applyFont="1" applyBorder="1" applyAlignment="1">
      <alignment horizontal="center"/>
    </xf>
    <xf numFmtId="0" fontId="122" fillId="0" borderId="22" xfId="0" applyFont="1" applyBorder="1" applyAlignment="1">
      <alignment horizontal="center"/>
    </xf>
    <xf numFmtId="0" fontId="122" fillId="0" borderId="23" xfId="0" applyFont="1" applyBorder="1" applyAlignment="1">
      <alignment horizontal="center"/>
    </xf>
    <xf numFmtId="0" fontId="110" fillId="0" borderId="119" xfId="0" applyFont="1" applyBorder="1" applyAlignment="1">
      <alignment horizontal="center" vertical="center"/>
    </xf>
    <xf numFmtId="0" fontId="110" fillId="0" borderId="120" xfId="0" applyFont="1" applyBorder="1" applyAlignment="1">
      <alignment horizontal="center" vertical="center"/>
    </xf>
  </cellXfs>
  <cellStyles count="18">
    <cellStyle name="Čárka" xfId="1" builtinId="3"/>
    <cellStyle name="Čárka 2" xfId="2" xr:uid="{00000000-0005-0000-0000-000001000000}"/>
    <cellStyle name="Čárka 2 2" xfId="3" xr:uid="{00000000-0005-0000-0000-000002000000}"/>
    <cellStyle name="Hypertextový odkaz 2" xfId="4" xr:uid="{00000000-0005-0000-0000-000003000000}"/>
    <cellStyle name="Normal_tab 1_13(1)" xfId="5" xr:uid="{00000000-0005-0000-0000-000004000000}"/>
    <cellStyle name="Normální" xfId="0" builtinId="0"/>
    <cellStyle name="Normální 11" xfId="6" xr:uid="{00000000-0005-0000-0000-000006000000}"/>
    <cellStyle name="Normální 12" xfId="7" xr:uid="{00000000-0005-0000-0000-000007000000}"/>
    <cellStyle name="Normální 13" xfId="8" xr:uid="{00000000-0005-0000-0000-000008000000}"/>
    <cellStyle name="normální 2" xfId="9" xr:uid="{00000000-0005-0000-0000-000009000000}"/>
    <cellStyle name="normální 3" xfId="10" xr:uid="{00000000-0005-0000-0000-00000A000000}"/>
    <cellStyle name="Normální 4" xfId="11" xr:uid="{00000000-0005-0000-0000-00000B000000}"/>
    <cellStyle name="normální_Konečná verze NOVYKAZY" xfId="12" xr:uid="{00000000-0005-0000-0000-00000C000000}"/>
    <cellStyle name="normální_tabulka do výroční zprávy rozboru hospodaření" xfId="13" xr:uid="{00000000-0005-0000-0000-00000D000000}"/>
    <cellStyle name="Procenta" xfId="14" builtinId="5"/>
    <cellStyle name="Procenta 2" xfId="15" xr:uid="{00000000-0005-0000-0000-00000F000000}"/>
    <cellStyle name="Procenta 2 2" xfId="16" xr:uid="{00000000-0005-0000-0000-000010000000}"/>
    <cellStyle name="Procenta 3" xfId="17" xr:uid="{00000000-0005-0000-0000-000011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FF"/>
      <color rgb="FFFFCCCC"/>
      <color rgb="FF33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2</xdr:col>
      <xdr:colOff>2114808</xdr:colOff>
      <xdr:row>34</xdr:row>
      <xdr:rowOff>0</xdr:rowOff>
    </xdr:from>
    <xdr:ext cx="4091263" cy="277798"/>
    <xdr:sp macro="" textlink="">
      <xdr:nvSpPr>
        <xdr:cNvPr id="2" name="TextovéPole 1">
          <a:extLst>
            <a:ext uri="{FF2B5EF4-FFF2-40B4-BE49-F238E27FC236}">
              <a16:creationId xmlns:a16="http://schemas.microsoft.com/office/drawing/2014/main" id="{DBF2F672-0F93-4FB9-982B-6CB7CCFC4CC1}"/>
            </a:ext>
          </a:extLst>
        </xdr:cNvPr>
        <xdr:cNvSpPr txBox="1"/>
      </xdr:nvSpPr>
      <xdr:spPr>
        <a:xfrm rot="10597951">
          <a:off x="3031113" y="9296306"/>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3" name="TextovéPole 1">
          <a:extLst>
            <a:ext uri="{FF2B5EF4-FFF2-40B4-BE49-F238E27FC236}">
              <a16:creationId xmlns:a16="http://schemas.microsoft.com/office/drawing/2014/main" id="{E244F487-15B4-49A4-A10F-7D5202B0199D}"/>
            </a:ext>
          </a:extLst>
        </xdr:cNvPr>
        <xdr:cNvSpPr txBox="1"/>
      </xdr:nvSpPr>
      <xdr:spPr>
        <a:xfrm rot="10597951">
          <a:off x="3031113" y="9296306"/>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4" name="TextovéPole 1">
          <a:extLst>
            <a:ext uri="{FF2B5EF4-FFF2-40B4-BE49-F238E27FC236}">
              <a16:creationId xmlns:a16="http://schemas.microsoft.com/office/drawing/2014/main" id="{AEE8EDB4-239F-466F-95CE-10DE08E056D4}"/>
            </a:ext>
          </a:extLst>
        </xdr:cNvPr>
        <xdr:cNvSpPr txBox="1"/>
      </xdr:nvSpPr>
      <xdr:spPr>
        <a:xfrm rot="10597951">
          <a:off x="3031113" y="9646878"/>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5" name="TextovéPole 1">
          <a:extLst>
            <a:ext uri="{FF2B5EF4-FFF2-40B4-BE49-F238E27FC236}">
              <a16:creationId xmlns:a16="http://schemas.microsoft.com/office/drawing/2014/main" id="{6BF5290C-9AA1-495A-82F1-DCD4D10B4137}"/>
            </a:ext>
          </a:extLst>
        </xdr:cNvPr>
        <xdr:cNvSpPr txBox="1"/>
      </xdr:nvSpPr>
      <xdr:spPr>
        <a:xfrm rot="10597951">
          <a:off x="3031113" y="9646878"/>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6" name="TextovéPole 1">
          <a:extLst>
            <a:ext uri="{FF2B5EF4-FFF2-40B4-BE49-F238E27FC236}">
              <a16:creationId xmlns:a16="http://schemas.microsoft.com/office/drawing/2014/main" id="{A7C24540-5927-4328-8E00-8EC779D15C16}"/>
            </a:ext>
          </a:extLst>
        </xdr:cNvPr>
        <xdr:cNvSpPr txBox="1"/>
      </xdr:nvSpPr>
      <xdr:spPr>
        <a:xfrm rot="10597951">
          <a:off x="3031113" y="9296306"/>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7" name="TextovéPole 1">
          <a:extLst>
            <a:ext uri="{FF2B5EF4-FFF2-40B4-BE49-F238E27FC236}">
              <a16:creationId xmlns:a16="http://schemas.microsoft.com/office/drawing/2014/main" id="{DB2C97AE-0711-43AD-B2A6-753377278611}"/>
            </a:ext>
          </a:extLst>
        </xdr:cNvPr>
        <xdr:cNvSpPr txBox="1"/>
      </xdr:nvSpPr>
      <xdr:spPr>
        <a:xfrm rot="10597951">
          <a:off x="3031113" y="9296306"/>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8" name="TextovéPole 1">
          <a:extLst>
            <a:ext uri="{FF2B5EF4-FFF2-40B4-BE49-F238E27FC236}">
              <a16:creationId xmlns:a16="http://schemas.microsoft.com/office/drawing/2014/main" id="{01D3B496-21FD-48BD-A68F-0F9CFAAFBF9A}"/>
            </a:ext>
          </a:extLst>
        </xdr:cNvPr>
        <xdr:cNvSpPr txBox="1"/>
      </xdr:nvSpPr>
      <xdr:spPr>
        <a:xfrm rot="10597951">
          <a:off x="3031113" y="9646878"/>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9" name="TextovéPole 1">
          <a:extLst>
            <a:ext uri="{FF2B5EF4-FFF2-40B4-BE49-F238E27FC236}">
              <a16:creationId xmlns:a16="http://schemas.microsoft.com/office/drawing/2014/main" id="{6C233C9E-9513-4241-981B-6433967253D4}"/>
            </a:ext>
          </a:extLst>
        </xdr:cNvPr>
        <xdr:cNvSpPr txBox="1"/>
      </xdr:nvSpPr>
      <xdr:spPr>
        <a:xfrm rot="10597951">
          <a:off x="3031113" y="9646878"/>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10" name="TextovéPole 1">
          <a:extLst>
            <a:ext uri="{FF2B5EF4-FFF2-40B4-BE49-F238E27FC236}">
              <a16:creationId xmlns:a16="http://schemas.microsoft.com/office/drawing/2014/main" id="{9DF11EF1-8F2D-4491-8149-9306C8E71C42}"/>
            </a:ext>
          </a:extLst>
        </xdr:cNvPr>
        <xdr:cNvSpPr txBox="1"/>
      </xdr:nvSpPr>
      <xdr:spPr>
        <a:xfrm rot="10597951">
          <a:off x="3031113" y="9296306"/>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11" name="TextovéPole 1">
          <a:extLst>
            <a:ext uri="{FF2B5EF4-FFF2-40B4-BE49-F238E27FC236}">
              <a16:creationId xmlns:a16="http://schemas.microsoft.com/office/drawing/2014/main" id="{11828AA8-874E-4D6F-8D13-EA7381AAC88A}"/>
            </a:ext>
          </a:extLst>
        </xdr:cNvPr>
        <xdr:cNvSpPr txBox="1"/>
      </xdr:nvSpPr>
      <xdr:spPr>
        <a:xfrm rot="10597951">
          <a:off x="3031113" y="9296306"/>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12" name="TextovéPole 1">
          <a:extLst>
            <a:ext uri="{FF2B5EF4-FFF2-40B4-BE49-F238E27FC236}">
              <a16:creationId xmlns:a16="http://schemas.microsoft.com/office/drawing/2014/main" id="{3AA3F598-30A4-4E9E-93BD-EE97B7731853}"/>
            </a:ext>
          </a:extLst>
        </xdr:cNvPr>
        <xdr:cNvSpPr txBox="1"/>
      </xdr:nvSpPr>
      <xdr:spPr>
        <a:xfrm rot="10597951">
          <a:off x="3031113" y="9646878"/>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13" name="TextovéPole 1">
          <a:extLst>
            <a:ext uri="{FF2B5EF4-FFF2-40B4-BE49-F238E27FC236}">
              <a16:creationId xmlns:a16="http://schemas.microsoft.com/office/drawing/2014/main" id="{2FF3F452-416B-4E5D-981D-1955BB31192C}"/>
            </a:ext>
          </a:extLst>
        </xdr:cNvPr>
        <xdr:cNvSpPr txBox="1"/>
      </xdr:nvSpPr>
      <xdr:spPr>
        <a:xfrm rot="10597951">
          <a:off x="3031113" y="9646878"/>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14" name="TextovéPole 1">
          <a:extLst>
            <a:ext uri="{FF2B5EF4-FFF2-40B4-BE49-F238E27FC236}">
              <a16:creationId xmlns:a16="http://schemas.microsoft.com/office/drawing/2014/main" id="{A3F33219-EF02-44CA-8AD5-0623A7AECCE0}"/>
            </a:ext>
          </a:extLst>
        </xdr:cNvPr>
        <xdr:cNvSpPr txBox="1"/>
      </xdr:nvSpPr>
      <xdr:spPr>
        <a:xfrm rot="10597951">
          <a:off x="3031113" y="9296306"/>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2114808</xdr:colOff>
      <xdr:row>34</xdr:row>
      <xdr:rowOff>0</xdr:rowOff>
    </xdr:from>
    <xdr:ext cx="4091263" cy="277798"/>
    <xdr:sp macro="" textlink="">
      <xdr:nvSpPr>
        <xdr:cNvPr id="15" name="TextovéPole 1">
          <a:extLst>
            <a:ext uri="{FF2B5EF4-FFF2-40B4-BE49-F238E27FC236}">
              <a16:creationId xmlns:a16="http://schemas.microsoft.com/office/drawing/2014/main" id="{122934C5-FBFD-447B-8DF2-09EAEC589E10}"/>
            </a:ext>
          </a:extLst>
        </xdr:cNvPr>
        <xdr:cNvSpPr txBox="1"/>
      </xdr:nvSpPr>
      <xdr:spPr>
        <a:xfrm rot="10597951">
          <a:off x="3031113" y="9296306"/>
          <a:ext cx="40479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133350</xdr:rowOff>
    </xdr:from>
    <xdr:to>
      <xdr:col>0</xdr:col>
      <xdr:colOff>0</xdr:colOff>
      <xdr:row>21</xdr:row>
      <xdr:rowOff>0</xdr:rowOff>
    </xdr:to>
    <xdr:sp macro="" textlink="">
      <xdr:nvSpPr>
        <xdr:cNvPr id="160992" name="Line 1">
          <a:extLst>
            <a:ext uri="{FF2B5EF4-FFF2-40B4-BE49-F238E27FC236}">
              <a16:creationId xmlns:a16="http://schemas.microsoft.com/office/drawing/2014/main" id="{BF8A3B02-719B-484D-973F-50F5D2A5C5EA}"/>
            </a:ext>
          </a:extLst>
        </xdr:cNvPr>
        <xdr:cNvSpPr>
          <a:spLocks noChangeShapeType="1"/>
        </xdr:cNvSpPr>
      </xdr:nvSpPr>
      <xdr:spPr bwMode="auto">
        <a:xfrm>
          <a:off x="0" y="542925"/>
          <a:ext cx="0" cy="2867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85725</xdr:rowOff>
    </xdr:from>
    <xdr:to>
      <xdr:col>0</xdr:col>
      <xdr:colOff>0</xdr:colOff>
      <xdr:row>21</xdr:row>
      <xdr:rowOff>0</xdr:rowOff>
    </xdr:to>
    <xdr:sp macro="" textlink="">
      <xdr:nvSpPr>
        <xdr:cNvPr id="160993" name="Line 2">
          <a:extLst>
            <a:ext uri="{FF2B5EF4-FFF2-40B4-BE49-F238E27FC236}">
              <a16:creationId xmlns:a16="http://schemas.microsoft.com/office/drawing/2014/main" id="{5EB3E855-5CA8-4B3F-9429-5500DE908432}"/>
            </a:ext>
          </a:extLst>
        </xdr:cNvPr>
        <xdr:cNvSpPr>
          <a:spLocks noChangeShapeType="1"/>
        </xdr:cNvSpPr>
      </xdr:nvSpPr>
      <xdr:spPr bwMode="auto">
        <a:xfrm flipV="1">
          <a:off x="0" y="495300"/>
          <a:ext cx="0" cy="2914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27"/>
  <sheetViews>
    <sheetView workbookViewId="0">
      <selection activeCell="K22" sqref="K22"/>
    </sheetView>
  </sheetViews>
  <sheetFormatPr defaultColWidth="9.140625" defaultRowHeight="15" x14ac:dyDescent="0.25"/>
  <sheetData>
    <row r="1" spans="1:18" x14ac:dyDescent="0.25">
      <c r="A1" t="s">
        <v>1205</v>
      </c>
    </row>
    <row r="2" spans="1:18" x14ac:dyDescent="0.25">
      <c r="A2" s="1114"/>
      <c r="B2" t="s">
        <v>1267</v>
      </c>
    </row>
    <row r="3" spans="1:18" x14ac:dyDescent="0.25">
      <c r="A3" s="1115"/>
      <c r="B3" t="s">
        <v>1328</v>
      </c>
    </row>
    <row r="4" spans="1:18" x14ac:dyDescent="0.25">
      <c r="A4" s="1267"/>
      <c r="B4" t="s">
        <v>1329</v>
      </c>
    </row>
    <row r="5" spans="1:18" ht="43.5" customHeight="1" x14ac:dyDescent="0.25">
      <c r="A5" s="1116"/>
      <c r="B5" s="1313" t="s">
        <v>1279</v>
      </c>
      <c r="C5" s="1313"/>
      <c r="D5" s="1313"/>
      <c r="E5" s="1313"/>
      <c r="F5" s="1313"/>
      <c r="G5" s="1313"/>
      <c r="H5" s="1313"/>
      <c r="I5" s="1313"/>
      <c r="J5" s="1313"/>
      <c r="K5" s="1313"/>
      <c r="L5" s="1313"/>
      <c r="M5" s="1313"/>
      <c r="N5" s="1313"/>
      <c r="O5" s="1313"/>
      <c r="P5" s="1313"/>
    </row>
    <row r="8" spans="1:18" x14ac:dyDescent="0.25">
      <c r="A8" s="837" t="s">
        <v>1206</v>
      </c>
    </row>
    <row r="9" spans="1:18" x14ac:dyDescent="0.25">
      <c r="A9" s="1117" t="s">
        <v>1207</v>
      </c>
      <c r="B9" s="1118"/>
      <c r="C9" s="1118"/>
      <c r="D9" s="1118"/>
      <c r="E9" s="1118"/>
      <c r="F9" s="1118"/>
      <c r="G9" s="1118"/>
      <c r="H9" s="1118"/>
      <c r="I9" s="1118"/>
      <c r="J9" s="1118"/>
      <c r="K9" s="1118"/>
      <c r="L9" s="1118"/>
      <c r="M9" s="1118"/>
      <c r="N9" s="1118"/>
      <c r="O9" s="1118"/>
      <c r="P9" s="1118"/>
      <c r="Q9" s="1118"/>
      <c r="R9" s="1118"/>
    </row>
    <row r="10" spans="1:18" x14ac:dyDescent="0.25">
      <c r="A10" t="s">
        <v>1281</v>
      </c>
    </row>
    <row r="11" spans="1:18" x14ac:dyDescent="0.25">
      <c r="A11" t="s">
        <v>1273</v>
      </c>
    </row>
    <row r="12" spans="1:18" x14ac:dyDescent="0.25">
      <c r="A12" t="s">
        <v>1274</v>
      </c>
    </row>
    <row r="13" spans="1:18" x14ac:dyDescent="0.25">
      <c r="A13" t="s">
        <v>1282</v>
      </c>
    </row>
    <row r="14" spans="1:18" x14ac:dyDescent="0.25">
      <c r="A14" t="s">
        <v>1208</v>
      </c>
    </row>
    <row r="15" spans="1:18" x14ac:dyDescent="0.25">
      <c r="A15" s="837" t="s">
        <v>1280</v>
      </c>
    </row>
    <row r="16" spans="1:18" x14ac:dyDescent="0.25">
      <c r="A16" t="s">
        <v>1210</v>
      </c>
    </row>
    <row r="17" spans="1:1" x14ac:dyDescent="0.25">
      <c r="A17" t="s">
        <v>1220</v>
      </c>
    </row>
    <row r="18" spans="1:1" x14ac:dyDescent="0.25">
      <c r="A18" t="s">
        <v>1275</v>
      </c>
    </row>
    <row r="19" spans="1:1" x14ac:dyDescent="0.25">
      <c r="A19" t="s">
        <v>1211</v>
      </c>
    </row>
    <row r="20" spans="1:1" x14ac:dyDescent="0.25">
      <c r="A20" t="s">
        <v>1221</v>
      </c>
    </row>
    <row r="21" spans="1:1" x14ac:dyDescent="0.25">
      <c r="A21" t="s">
        <v>1209</v>
      </c>
    </row>
    <row r="24" spans="1:1" x14ac:dyDescent="0.25">
      <c r="A24" s="1119" t="s">
        <v>1222</v>
      </c>
    </row>
    <row r="25" spans="1:1" x14ac:dyDescent="0.25">
      <c r="A25" t="s">
        <v>1223</v>
      </c>
    </row>
    <row r="26" spans="1:1" x14ac:dyDescent="0.25">
      <c r="A26" t="s">
        <v>1276</v>
      </c>
    </row>
    <row r="27" spans="1:1" x14ac:dyDescent="0.25">
      <c r="A27" t="s">
        <v>1277</v>
      </c>
    </row>
  </sheetData>
  <mergeCells count="1">
    <mergeCell ref="B5:P5"/>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R97"/>
  <sheetViews>
    <sheetView workbookViewId="0">
      <pane xSplit="1" ySplit="3" topLeftCell="B4" activePane="bottomRight" state="frozen"/>
      <selection activeCell="B151" sqref="B151"/>
      <selection pane="topRight" activeCell="B151" sqref="B151"/>
      <selection pane="bottomLeft" activeCell="B151" sqref="B151"/>
      <selection pane="bottomRight" activeCell="B151" sqref="B151"/>
    </sheetView>
  </sheetViews>
  <sheetFormatPr defaultColWidth="9.140625" defaultRowHeight="12.75" x14ac:dyDescent="0.25"/>
  <cols>
    <col min="1" max="1" width="46.28515625" style="8" customWidth="1"/>
    <col min="2" max="2" width="14.5703125" style="8" customWidth="1"/>
    <col min="3" max="3" width="15" style="8" customWidth="1"/>
    <col min="4" max="4" width="17.42578125" style="8" customWidth="1"/>
    <col min="5" max="5" width="8.85546875" style="8" customWidth="1"/>
    <col min="6" max="6" width="11.7109375" style="8" hidden="1" customWidth="1"/>
    <col min="7" max="7" width="10.28515625" style="8" hidden="1" customWidth="1"/>
    <col min="8" max="8" width="12" style="8" hidden="1" customWidth="1"/>
    <col min="9" max="9" width="9.42578125" style="8" hidden="1" customWidth="1"/>
    <col min="10" max="13" width="9.140625" style="8" hidden="1" customWidth="1"/>
    <col min="14" max="15" width="0" style="8" hidden="1" customWidth="1"/>
    <col min="16" max="16" width="9.85546875" style="8" hidden="1" customWidth="1"/>
    <col min="17" max="17" width="12.28515625" style="8" hidden="1" customWidth="1"/>
    <col min="18" max="18" width="0" style="8" hidden="1" customWidth="1"/>
    <col min="19" max="16384" width="9.140625" style="8"/>
  </cols>
  <sheetData>
    <row r="1" spans="1:12" ht="21" x14ac:dyDescent="0.25">
      <c r="A1" s="105" t="s">
        <v>1030</v>
      </c>
    </row>
    <row r="2" spans="1:12" ht="19.5" customHeight="1" thickBot="1" x14ac:dyDescent="0.25">
      <c r="A2" s="107"/>
      <c r="B2" s="804"/>
      <c r="C2" s="107"/>
      <c r="D2" s="141" t="s">
        <v>623</v>
      </c>
      <c r="F2" s="1211" t="s">
        <v>1265</v>
      </c>
      <c r="J2" s="849" t="s">
        <v>1266</v>
      </c>
    </row>
    <row r="3" spans="1:12" s="9" customFormat="1" ht="39" thickBot="1" x14ac:dyDescent="0.3">
      <c r="A3" s="109" t="s">
        <v>1047</v>
      </c>
      <c r="B3" s="110" t="s">
        <v>764</v>
      </c>
      <c r="C3" s="111" t="s">
        <v>765</v>
      </c>
      <c r="D3" s="109" t="s">
        <v>1049</v>
      </c>
      <c r="F3" s="110" t="s">
        <v>764</v>
      </c>
      <c r="G3" s="111" t="s">
        <v>765</v>
      </c>
      <c r="H3" s="109" t="s">
        <v>1132</v>
      </c>
      <c r="I3" s="1212"/>
      <c r="J3" s="110" t="s">
        <v>764</v>
      </c>
      <c r="K3" s="111" t="s">
        <v>765</v>
      </c>
      <c r="L3" s="109" t="s">
        <v>1132</v>
      </c>
    </row>
    <row r="4" spans="1:12" x14ac:dyDescent="0.25">
      <c r="A4" s="112" t="s">
        <v>766</v>
      </c>
      <c r="B4" s="1084">
        <v>461.86418999998841</v>
      </c>
      <c r="C4" s="1085">
        <v>526.00483000000008</v>
      </c>
      <c r="D4" s="1086">
        <f t="shared" ref="D4:D27" si="0">SUM(B4:C4)</f>
        <v>987.8690199999885</v>
      </c>
      <c r="F4" s="850">
        <v>584.85779000000662</v>
      </c>
      <c r="G4" s="851">
        <v>140.31130000000007</v>
      </c>
      <c r="H4" s="852">
        <v>725.16909000000669</v>
      </c>
      <c r="I4" s="1213"/>
      <c r="J4" s="850">
        <f t="shared" ref="J4:J26" si="1">B4-F4</f>
        <v>-122.9936000000182</v>
      </c>
      <c r="K4" s="851">
        <f t="shared" ref="K4:K26" si="2">C4-G4</f>
        <v>385.69353000000001</v>
      </c>
      <c r="L4" s="852">
        <f t="shared" ref="L4:L26" si="3">D4-H4</f>
        <v>262.6999299999818</v>
      </c>
    </row>
    <row r="5" spans="1:12" x14ac:dyDescent="0.25">
      <c r="A5" s="115" t="s">
        <v>767</v>
      </c>
      <c r="B5" s="1087">
        <v>1702.9565699999737</v>
      </c>
      <c r="C5" s="1088">
        <v>2.2000000000000002</v>
      </c>
      <c r="D5" s="1089">
        <f t="shared" si="0"/>
        <v>1705.1565699999737</v>
      </c>
      <c r="F5" s="853">
        <v>-2702.8407300000108</v>
      </c>
      <c r="G5" s="854">
        <v>38.4</v>
      </c>
      <c r="H5" s="855">
        <v>-2664.4407300000107</v>
      </c>
      <c r="I5" s="1213"/>
      <c r="J5" s="853">
        <f t="shared" si="1"/>
        <v>4405.7972999999847</v>
      </c>
      <c r="K5" s="854">
        <f t="shared" si="2"/>
        <v>-36.199999999999996</v>
      </c>
      <c r="L5" s="855">
        <f t="shared" si="3"/>
        <v>4369.5972999999849</v>
      </c>
    </row>
    <row r="6" spans="1:12" x14ac:dyDescent="0.25">
      <c r="A6" s="115" t="s">
        <v>768</v>
      </c>
      <c r="B6" s="1087">
        <v>-184.89265000000432</v>
      </c>
      <c r="C6" s="1088">
        <v>197.89303000000001</v>
      </c>
      <c r="D6" s="1089">
        <f t="shared" si="0"/>
        <v>13.000379999995687</v>
      </c>
      <c r="F6" s="853">
        <v>-189.42369999999528</v>
      </c>
      <c r="G6" s="854">
        <v>195.36</v>
      </c>
      <c r="H6" s="855">
        <v>5.936300000004735</v>
      </c>
      <c r="I6" s="1213"/>
      <c r="J6" s="853">
        <f t="shared" si="1"/>
        <v>4.5310499999909553</v>
      </c>
      <c r="K6" s="854">
        <f t="shared" si="2"/>
        <v>2.5330299999999966</v>
      </c>
      <c r="L6" s="855">
        <f t="shared" si="3"/>
        <v>7.0640799999909518</v>
      </c>
    </row>
    <row r="7" spans="1:12" x14ac:dyDescent="0.25">
      <c r="A7" s="115" t="s">
        <v>769</v>
      </c>
      <c r="B7" s="1087">
        <v>-1295.6304600000039</v>
      </c>
      <c r="C7" s="1088">
        <v>2351.8491800000002</v>
      </c>
      <c r="D7" s="1089">
        <f t="shared" si="0"/>
        <v>1056.2187199999962</v>
      </c>
      <c r="F7" s="853">
        <v>-1743.4608700000172</v>
      </c>
      <c r="G7" s="854">
        <v>1586.6613699999996</v>
      </c>
      <c r="H7" s="855">
        <v>-156.79950000001759</v>
      </c>
      <c r="I7" s="1213"/>
      <c r="J7" s="853">
        <f t="shared" si="1"/>
        <v>447.83041000001322</v>
      </c>
      <c r="K7" s="854">
        <f t="shared" si="2"/>
        <v>765.18781000000058</v>
      </c>
      <c r="L7" s="855">
        <f t="shared" si="3"/>
        <v>1213.0182200000138</v>
      </c>
    </row>
    <row r="8" spans="1:12" x14ac:dyDescent="0.25">
      <c r="A8" s="115" t="s">
        <v>770</v>
      </c>
      <c r="B8" s="1087">
        <v>-7881.5635999996739</v>
      </c>
      <c r="C8" s="1088">
        <v>7991.2778899999985</v>
      </c>
      <c r="D8" s="1089">
        <f t="shared" si="0"/>
        <v>109.71429000032458</v>
      </c>
      <c r="F8" s="853">
        <v>-8296.4183900002099</v>
      </c>
      <c r="G8" s="854">
        <v>8747.8583199999957</v>
      </c>
      <c r="H8" s="855">
        <v>451.43992999978582</v>
      </c>
      <c r="I8" s="1213"/>
      <c r="J8" s="853">
        <f t="shared" si="1"/>
        <v>414.85479000053601</v>
      </c>
      <c r="K8" s="854">
        <f t="shared" si="2"/>
        <v>-756.58042999999725</v>
      </c>
      <c r="L8" s="855">
        <f t="shared" si="3"/>
        <v>-341.72563999946124</v>
      </c>
    </row>
    <row r="9" spans="1:12" x14ac:dyDescent="0.25">
      <c r="A9" s="115" t="s">
        <v>771</v>
      </c>
      <c r="B9" s="1087">
        <v>-1478.1045099999999</v>
      </c>
      <c r="C9" s="1088">
        <v>1581.29396</v>
      </c>
      <c r="D9" s="1089">
        <f t="shared" si="0"/>
        <v>103.18945000000008</v>
      </c>
      <c r="F9" s="853">
        <v>397.19519999987824</v>
      </c>
      <c r="G9" s="854">
        <v>117.88968</v>
      </c>
      <c r="H9" s="855">
        <v>515.08487999987824</v>
      </c>
      <c r="I9" s="1213"/>
      <c r="J9" s="853">
        <f t="shared" si="1"/>
        <v>-1875.2997099998781</v>
      </c>
      <c r="K9" s="854">
        <f t="shared" si="2"/>
        <v>1463.40428</v>
      </c>
      <c r="L9" s="855">
        <f t="shared" si="3"/>
        <v>-411.89542999987816</v>
      </c>
    </row>
    <row r="10" spans="1:12" x14ac:dyDescent="0.25">
      <c r="A10" s="115" t="s">
        <v>772</v>
      </c>
      <c r="B10" s="1087">
        <v>-1583.5966399998815</v>
      </c>
      <c r="C10" s="1088">
        <v>1700.30134</v>
      </c>
      <c r="D10" s="1089">
        <f t="shared" si="0"/>
        <v>116.70470000011846</v>
      </c>
      <c r="F10" s="853">
        <v>-2063.0386699999999</v>
      </c>
      <c r="G10" s="854">
        <v>2116.1734900000001</v>
      </c>
      <c r="H10" s="855">
        <v>53.134820000000218</v>
      </c>
      <c r="I10" s="1213"/>
      <c r="J10" s="853">
        <f t="shared" si="1"/>
        <v>479.44203000011839</v>
      </c>
      <c r="K10" s="854">
        <f t="shared" si="2"/>
        <v>-415.87215000000015</v>
      </c>
      <c r="L10" s="855">
        <f t="shared" si="3"/>
        <v>63.569880000118246</v>
      </c>
    </row>
    <row r="11" spans="1:12" x14ac:dyDescent="0.25">
      <c r="A11" s="116" t="s">
        <v>773</v>
      </c>
      <c r="B11" s="1087">
        <v>490.36127000004853</v>
      </c>
      <c r="C11" s="1088">
        <v>2843.6857700000019</v>
      </c>
      <c r="D11" s="1089">
        <f t="shared" si="0"/>
        <v>3334.0470400000504</v>
      </c>
      <c r="F11" s="853">
        <v>1097.74215</v>
      </c>
      <c r="G11" s="854">
        <v>3737.7275</v>
      </c>
      <c r="H11" s="855">
        <v>4835.46965</v>
      </c>
      <c r="I11" s="1213"/>
      <c r="J11" s="853">
        <f t="shared" si="1"/>
        <v>-607.3808799999515</v>
      </c>
      <c r="K11" s="854">
        <f t="shared" si="2"/>
        <v>-894.0417299999981</v>
      </c>
      <c r="L11" s="855">
        <f t="shared" si="3"/>
        <v>-1501.4226099999496</v>
      </c>
    </row>
    <row r="12" spans="1:12" x14ac:dyDescent="0.25">
      <c r="A12" s="115" t="s">
        <v>774</v>
      </c>
      <c r="B12" s="1087">
        <v>419.22944000000007</v>
      </c>
      <c r="C12" s="1088">
        <v>115.77733000000001</v>
      </c>
      <c r="D12" s="1089">
        <f t="shared" si="0"/>
        <v>535.00677000000007</v>
      </c>
      <c r="F12" s="853">
        <v>358.56396999995559</v>
      </c>
      <c r="G12" s="854">
        <v>50.063320000000004</v>
      </c>
      <c r="H12" s="855">
        <v>408.62728999995556</v>
      </c>
      <c r="I12" s="1213"/>
      <c r="J12" s="853">
        <f t="shared" si="1"/>
        <v>60.665470000044479</v>
      </c>
      <c r="K12" s="854">
        <f t="shared" si="2"/>
        <v>65.714010000000002</v>
      </c>
      <c r="L12" s="855">
        <f t="shared" si="3"/>
        <v>126.37948000004451</v>
      </c>
    </row>
    <row r="13" spans="1:12" x14ac:dyDescent="0.25">
      <c r="A13" s="115" t="s">
        <v>775</v>
      </c>
      <c r="B13" s="1087">
        <v>435.05949000001146</v>
      </c>
      <c r="C13" s="1088">
        <v>449.45497999999992</v>
      </c>
      <c r="D13" s="1089">
        <f t="shared" si="0"/>
        <v>884.51447000001144</v>
      </c>
      <c r="F13" s="853">
        <v>32.46574000000146</v>
      </c>
      <c r="G13" s="854">
        <v>583.20586999999955</v>
      </c>
      <c r="H13" s="855">
        <v>615.67161000000101</v>
      </c>
      <c r="I13" s="1213"/>
      <c r="J13" s="853">
        <f t="shared" si="1"/>
        <v>402.59375000001</v>
      </c>
      <c r="K13" s="854">
        <f t="shared" si="2"/>
        <v>-133.75088999999963</v>
      </c>
      <c r="L13" s="855">
        <f t="shared" si="3"/>
        <v>268.84286000001043</v>
      </c>
    </row>
    <row r="14" spans="1:12" x14ac:dyDescent="0.25">
      <c r="A14" s="115" t="s">
        <v>776</v>
      </c>
      <c r="B14" s="1087">
        <v>146.43066999988878</v>
      </c>
      <c r="C14" s="1088">
        <v>1008.6066199999992</v>
      </c>
      <c r="D14" s="1089">
        <f t="shared" si="0"/>
        <v>1155.0372899998879</v>
      </c>
      <c r="F14" s="853">
        <v>237.75703999992766</v>
      </c>
      <c r="G14" s="854">
        <v>848.87292000000036</v>
      </c>
      <c r="H14" s="855">
        <v>1086.6299599999279</v>
      </c>
      <c r="I14" s="1213"/>
      <c r="J14" s="853">
        <f t="shared" si="1"/>
        <v>-91.326370000038878</v>
      </c>
      <c r="K14" s="854">
        <f t="shared" si="2"/>
        <v>159.73369999999886</v>
      </c>
      <c r="L14" s="855">
        <f t="shared" si="3"/>
        <v>68.407329999959984</v>
      </c>
    </row>
    <row r="15" spans="1:12" x14ac:dyDescent="0.25">
      <c r="A15" s="115" t="s">
        <v>777</v>
      </c>
      <c r="B15" s="1087">
        <v>1257.9153000002443</v>
      </c>
      <c r="C15" s="1088">
        <v>10289.348849999997</v>
      </c>
      <c r="D15" s="1089">
        <f t="shared" si="0"/>
        <v>11547.264150000241</v>
      </c>
      <c r="F15" s="853">
        <v>6.1996900000158348</v>
      </c>
      <c r="G15" s="854">
        <v>9978.0500099999954</v>
      </c>
      <c r="H15" s="855">
        <v>9984.2497000000112</v>
      </c>
      <c r="I15" s="1213"/>
      <c r="J15" s="853">
        <f t="shared" si="1"/>
        <v>1251.7156100002285</v>
      </c>
      <c r="K15" s="854">
        <f t="shared" si="2"/>
        <v>311.29884000000129</v>
      </c>
      <c r="L15" s="855">
        <f t="shared" si="3"/>
        <v>1563.0144500002298</v>
      </c>
    </row>
    <row r="16" spans="1:12" x14ac:dyDescent="0.25">
      <c r="A16" s="115" t="s">
        <v>778</v>
      </c>
      <c r="B16" s="1087">
        <v>3977.0193599998256</v>
      </c>
      <c r="C16" s="1088">
        <v>2615.7040999999986</v>
      </c>
      <c r="D16" s="1089">
        <f t="shared" si="0"/>
        <v>6592.7234599998246</v>
      </c>
      <c r="F16" s="853">
        <v>8780.3431400001682</v>
      </c>
      <c r="G16" s="854">
        <v>1417.4664600000001</v>
      </c>
      <c r="H16" s="855">
        <v>10197.809600000168</v>
      </c>
      <c r="I16" s="1213"/>
      <c r="J16" s="853">
        <f t="shared" si="1"/>
        <v>-4803.3237800003426</v>
      </c>
      <c r="K16" s="854">
        <f t="shared" si="2"/>
        <v>1198.2376399999985</v>
      </c>
      <c r="L16" s="855">
        <f t="shared" si="3"/>
        <v>-3605.0861400003432</v>
      </c>
    </row>
    <row r="17" spans="1:17" x14ac:dyDescent="0.25">
      <c r="A17" s="115" t="s">
        <v>779</v>
      </c>
      <c r="B17" s="1087">
        <v>986.85146999998869</v>
      </c>
      <c r="C17" s="1088">
        <v>3874.1191799999992</v>
      </c>
      <c r="D17" s="1089">
        <f t="shared" si="0"/>
        <v>4860.9706499999884</v>
      </c>
      <c r="F17" s="853">
        <v>512.76471000001766</v>
      </c>
      <c r="G17" s="854">
        <v>3452.4103500000015</v>
      </c>
      <c r="H17" s="855">
        <v>3965.1750600000191</v>
      </c>
      <c r="I17" s="1213"/>
      <c r="J17" s="853">
        <f t="shared" si="1"/>
        <v>474.08675999997104</v>
      </c>
      <c r="K17" s="854">
        <f t="shared" si="2"/>
        <v>421.70882999999776</v>
      </c>
      <c r="L17" s="855">
        <f t="shared" si="3"/>
        <v>895.79558999996925</v>
      </c>
    </row>
    <row r="18" spans="1:17" x14ac:dyDescent="0.25">
      <c r="A18" s="115" t="s">
        <v>780</v>
      </c>
      <c r="B18" s="1087">
        <v>1571.2753500000363</v>
      </c>
      <c r="C18" s="1088">
        <v>731.06787999999983</v>
      </c>
      <c r="D18" s="1089">
        <f t="shared" si="0"/>
        <v>2302.3432300000359</v>
      </c>
      <c r="F18" s="853">
        <v>816.43040000017572</v>
      </c>
      <c r="G18" s="854">
        <v>733.93513000000053</v>
      </c>
      <c r="H18" s="855">
        <v>1550.3655300001762</v>
      </c>
      <c r="I18" s="1213"/>
      <c r="J18" s="853">
        <f t="shared" si="1"/>
        <v>754.84494999986055</v>
      </c>
      <c r="K18" s="854">
        <f t="shared" si="2"/>
        <v>-2.8672500000006949</v>
      </c>
      <c r="L18" s="855">
        <f t="shared" si="3"/>
        <v>751.97769999985962</v>
      </c>
    </row>
    <row r="19" spans="1:17" x14ac:dyDescent="0.25">
      <c r="A19" s="115" t="s">
        <v>781</v>
      </c>
      <c r="B19" s="1087">
        <v>-6720.0231200000453</v>
      </c>
      <c r="C19" s="1088">
        <v>7407.6620600000051</v>
      </c>
      <c r="D19" s="1089">
        <f t="shared" si="0"/>
        <v>687.6389399999598</v>
      </c>
      <c r="F19" s="853">
        <v>-5360.0657100000644</v>
      </c>
      <c r="G19" s="854">
        <v>5458.8737300000021</v>
      </c>
      <c r="H19" s="855">
        <v>98.808019999937642</v>
      </c>
      <c r="I19" s="1213"/>
      <c r="J19" s="853">
        <f t="shared" si="1"/>
        <v>-1359.9574099999809</v>
      </c>
      <c r="K19" s="854">
        <f t="shared" si="2"/>
        <v>1948.788330000003</v>
      </c>
      <c r="L19" s="855">
        <f t="shared" si="3"/>
        <v>588.83092000002216</v>
      </c>
    </row>
    <row r="20" spans="1:17" x14ac:dyDescent="0.25">
      <c r="A20" s="115" t="s">
        <v>782</v>
      </c>
      <c r="B20" s="1087">
        <v>817.32130000000234</v>
      </c>
      <c r="C20" s="1088">
        <v>15.468480000000113</v>
      </c>
      <c r="D20" s="1089">
        <f t="shared" si="0"/>
        <v>832.78978000000245</v>
      </c>
      <c r="F20" s="853">
        <v>1200.071820000011</v>
      </c>
      <c r="G20" s="854">
        <v>2.5579538487363607E-13</v>
      </c>
      <c r="H20" s="855">
        <v>1200.0718200000113</v>
      </c>
      <c r="I20" s="1213"/>
      <c r="J20" s="853">
        <f t="shared" si="1"/>
        <v>-382.75052000000869</v>
      </c>
      <c r="K20" s="854">
        <f t="shared" si="2"/>
        <v>15.468479999999857</v>
      </c>
      <c r="L20" s="855">
        <f t="shared" si="3"/>
        <v>-367.28204000000881</v>
      </c>
    </row>
    <row r="21" spans="1:17" x14ac:dyDescent="0.25">
      <c r="A21" s="115" t="s">
        <v>783</v>
      </c>
      <c r="B21" s="1087">
        <v>-2.7284841053187847E-12</v>
      </c>
      <c r="C21" s="1088">
        <v>1.5078900000000317</v>
      </c>
      <c r="D21" s="1089">
        <f t="shared" si="0"/>
        <v>1.5078899999973032</v>
      </c>
      <c r="F21" s="853">
        <v>2.7796431822935119E-11</v>
      </c>
      <c r="G21" s="854">
        <v>112.43577000000096</v>
      </c>
      <c r="H21" s="855">
        <v>112.43577000002875</v>
      </c>
      <c r="I21" s="1213"/>
      <c r="J21" s="853">
        <f t="shared" si="1"/>
        <v>-3.0524915928253904E-11</v>
      </c>
      <c r="K21" s="854">
        <f t="shared" si="2"/>
        <v>-110.92788000000093</v>
      </c>
      <c r="L21" s="855">
        <f t="shared" si="3"/>
        <v>-110.92788000003145</v>
      </c>
    </row>
    <row r="22" spans="1:17" x14ac:dyDescent="0.25">
      <c r="A22" s="115" t="s">
        <v>784</v>
      </c>
      <c r="B22" s="1087">
        <v>-6532.7748300000212</v>
      </c>
      <c r="C22" s="1088">
        <v>22959.417839999995</v>
      </c>
      <c r="D22" s="1089">
        <f t="shared" si="0"/>
        <v>16426.643009999974</v>
      </c>
      <c r="F22" s="853">
        <v>10904.312670000016</v>
      </c>
      <c r="G22" s="854">
        <v>16982.988059999996</v>
      </c>
      <c r="H22" s="855">
        <v>27887.30073000001</v>
      </c>
      <c r="I22" s="1213"/>
      <c r="J22" s="853">
        <f t="shared" si="1"/>
        <v>-17437.087500000038</v>
      </c>
      <c r="K22" s="854">
        <f t="shared" si="2"/>
        <v>5976.4297799999986</v>
      </c>
      <c r="L22" s="855">
        <f t="shared" si="3"/>
        <v>-11460.657720000036</v>
      </c>
      <c r="Q22" s="1048"/>
    </row>
    <row r="23" spans="1:17" x14ac:dyDescent="0.25">
      <c r="A23" s="115" t="s">
        <v>785</v>
      </c>
      <c r="B23" s="1087">
        <f>2760.6409+7703.607</f>
        <v>10464.2479</v>
      </c>
      <c r="C23" s="1088">
        <f>4147.74637+1.925</f>
        <v>4149.67137</v>
      </c>
      <c r="D23" s="1089">
        <f t="shared" si="0"/>
        <v>14613.91927</v>
      </c>
      <c r="F23" s="853">
        <v>43456.880239999737</v>
      </c>
      <c r="G23" s="854">
        <v>3540.4990699999998</v>
      </c>
      <c r="H23" s="855">
        <v>46997.379309999735</v>
      </c>
      <c r="I23" s="1213"/>
      <c r="J23" s="853">
        <f t="shared" si="1"/>
        <v>-32992.632339999735</v>
      </c>
      <c r="K23" s="854">
        <f t="shared" si="2"/>
        <v>609.17230000000018</v>
      </c>
      <c r="L23" s="855">
        <f t="shared" si="3"/>
        <v>-32383.460039999736</v>
      </c>
    </row>
    <row r="24" spans="1:17" x14ac:dyDescent="0.25">
      <c r="A24" s="115" t="s">
        <v>786</v>
      </c>
      <c r="B24" s="1087">
        <v>0.60353999998915242</v>
      </c>
      <c r="C24" s="1088">
        <v>5552.4664700000003</v>
      </c>
      <c r="D24" s="1089">
        <f t="shared" si="0"/>
        <v>5553.0700099999895</v>
      </c>
      <c r="F24" s="853">
        <v>1.0028870095490916E-18</v>
      </c>
      <c r="G24" s="854">
        <v>14819.13581</v>
      </c>
      <c r="H24" s="855">
        <v>14819.13581</v>
      </c>
      <c r="I24" s="1213"/>
      <c r="J24" s="853">
        <f t="shared" si="1"/>
        <v>0.60353999998915242</v>
      </c>
      <c r="K24" s="854">
        <f t="shared" si="2"/>
        <v>-9266.6693400000004</v>
      </c>
      <c r="L24" s="855">
        <f t="shared" si="3"/>
        <v>-9266.0658000000112</v>
      </c>
    </row>
    <row r="25" spans="1:17" x14ac:dyDescent="0.25">
      <c r="A25" s="115" t="s">
        <v>787</v>
      </c>
      <c r="B25" s="1087">
        <v>-26293.392310000014</v>
      </c>
      <c r="C25" s="1088">
        <v>27433.163810000002</v>
      </c>
      <c r="D25" s="1089">
        <f t="shared" si="0"/>
        <v>1139.771499999988</v>
      </c>
      <c r="F25" s="1087">
        <f>-0.000120000004244503+0.000120000004244504-25109.97648</f>
        <v>-25109.976480000001</v>
      </c>
      <c r="G25" s="854">
        <f>75.2605799999892+19898.99895</f>
        <v>19974.259529999988</v>
      </c>
      <c r="H25" s="855">
        <f>75.2605799999892+-5210.97753</f>
        <v>-5135.7169500000109</v>
      </c>
      <c r="I25" s="1213"/>
      <c r="J25" s="853">
        <f t="shared" si="1"/>
        <v>-1183.4158300000126</v>
      </c>
      <c r="K25" s="854">
        <f t="shared" si="2"/>
        <v>7458.9042800000134</v>
      </c>
      <c r="L25" s="855">
        <f t="shared" si="3"/>
        <v>6275.4884499999989</v>
      </c>
    </row>
    <row r="26" spans="1:17" ht="13.5" thickBot="1" x14ac:dyDescent="0.3">
      <c r="A26" s="336" t="s">
        <v>928</v>
      </c>
      <c r="B26" s="1090">
        <v>2457.5195599999979</v>
      </c>
      <c r="C26" s="1091">
        <v>2933.379739999998</v>
      </c>
      <c r="D26" s="1089">
        <f t="shared" si="0"/>
        <v>5390.8992999999955</v>
      </c>
      <c r="F26" s="853">
        <v>4004.2793300000039</v>
      </c>
      <c r="G26" s="854">
        <v>2225.3326700000007</v>
      </c>
      <c r="H26" s="855">
        <v>6229.6120000000046</v>
      </c>
      <c r="I26" s="1213"/>
      <c r="J26" s="853">
        <f t="shared" si="1"/>
        <v>-1546.759770000006</v>
      </c>
      <c r="K26" s="854">
        <f t="shared" si="2"/>
        <v>708.04706999999735</v>
      </c>
      <c r="L26" s="855">
        <f t="shared" si="3"/>
        <v>-838.71270000000914</v>
      </c>
    </row>
    <row r="27" spans="1:17" ht="13.5" thickBot="1" x14ac:dyDescent="0.3">
      <c r="A27" s="117" t="s">
        <v>1048</v>
      </c>
      <c r="B27" s="118">
        <f>SUM(B4:B26)</f>
        <v>-26781.322709999655</v>
      </c>
      <c r="C27" s="119">
        <f>SUM(C4:C26)</f>
        <v>106731.3226</v>
      </c>
      <c r="D27" s="120">
        <f t="shared" si="0"/>
        <v>79949.999890000341</v>
      </c>
      <c r="F27" s="118">
        <v>26924.639339999645</v>
      </c>
      <c r="G27" s="119">
        <v>96857.91035999998</v>
      </c>
      <c r="H27" s="120">
        <v>123782.54969999962</v>
      </c>
      <c r="I27" s="1214"/>
      <c r="J27" s="118">
        <f>SUM(J4:J26)</f>
        <v>-53705.962049999296</v>
      </c>
      <c r="K27" s="119">
        <f>SUM(K4:K26)</f>
        <v>9873.4122400000106</v>
      </c>
      <c r="L27" s="120">
        <f>SUM(J27:K27)</f>
        <v>-43832.549809999284</v>
      </c>
    </row>
    <row r="29" spans="1:17" x14ac:dyDescent="0.25">
      <c r="A29" s="5" t="s">
        <v>467</v>
      </c>
      <c r="D29" s="15"/>
    </row>
    <row r="30" spans="1:17" x14ac:dyDescent="0.25">
      <c r="A30" s="1341" t="s">
        <v>511</v>
      </c>
      <c r="B30" s="1341"/>
      <c r="C30" s="1341"/>
      <c r="D30" s="1341"/>
    </row>
    <row r="31" spans="1:17" x14ac:dyDescent="0.15">
      <c r="A31" s="5" t="s">
        <v>624</v>
      </c>
      <c r="B31" s="1292"/>
      <c r="C31" s="1292"/>
      <c r="D31" s="5"/>
    </row>
    <row r="32" spans="1:17" x14ac:dyDescent="0.25">
      <c r="A32" s="5" t="s">
        <v>626</v>
      </c>
      <c r="B32" s="5"/>
      <c r="C32" s="5"/>
      <c r="D32" s="5"/>
    </row>
    <row r="33" spans="1:18" hidden="1" x14ac:dyDescent="0.25">
      <c r="A33" s="856" t="s">
        <v>1327</v>
      </c>
      <c r="B33" s="114">
        <v>-20892</v>
      </c>
      <c r="C33" s="114">
        <v>100842</v>
      </c>
      <c r="D33" s="114">
        <f>B33+C33</f>
        <v>79950</v>
      </c>
      <c r="E33" s="8" t="s">
        <v>1252</v>
      </c>
    </row>
    <row r="34" spans="1:18" ht="13.5" hidden="1" thickBot="1" x14ac:dyDescent="0.3">
      <c r="A34" s="857" t="s">
        <v>1253</v>
      </c>
      <c r="B34" s="114">
        <v>-26781.322660000002</v>
      </c>
      <c r="C34" s="114">
        <f>106729.39762+1.925</f>
        <v>106731.32262000001</v>
      </c>
      <c r="D34" s="114">
        <f>B34+C34</f>
        <v>79949.999960000001</v>
      </c>
      <c r="E34" s="858" t="s">
        <v>1133</v>
      </c>
    </row>
    <row r="35" spans="1:18" ht="13.5" hidden="1" thickBot="1" x14ac:dyDescent="0.3">
      <c r="A35" s="859" t="s">
        <v>1134</v>
      </c>
      <c r="B35" s="860">
        <f>B34-B27</f>
        <v>4.9999653128907084E-5</v>
      </c>
      <c r="C35" s="861">
        <f>C34-C27</f>
        <v>2.0000006770715117E-5</v>
      </c>
      <c r="D35" s="861">
        <f>D34-D27</f>
        <v>6.9999659899622202E-5</v>
      </c>
      <c r="E35" s="862">
        <f>SUM(B74:C97)/2</f>
        <v>-6.9999633797723781E-5</v>
      </c>
    </row>
    <row r="36" spans="1:18" hidden="1" x14ac:dyDescent="0.25">
      <c r="A36" s="863"/>
      <c r="C36" s="859"/>
      <c r="D36" s="859" t="s">
        <v>1135</v>
      </c>
      <c r="E36" s="864">
        <f>D35-E35</f>
        <v>1.3999929369734598E-4</v>
      </c>
    </row>
    <row r="37" spans="1:18" hidden="1" x14ac:dyDescent="0.25">
      <c r="A37" s="8" t="s">
        <v>1203</v>
      </c>
      <c r="E37" s="864">
        <f>D33-D34</f>
        <v>3.9999998989515007E-5</v>
      </c>
      <c r="F37" s="8" t="s">
        <v>1153</v>
      </c>
      <c r="G37" s="848" t="s">
        <v>1136</v>
      </c>
      <c r="H37" s="865" t="s">
        <v>1137</v>
      </c>
      <c r="I37" s="865">
        <v>2024</v>
      </c>
      <c r="J37" s="866">
        <v>2023</v>
      </c>
      <c r="K37" s="866">
        <v>2022</v>
      </c>
      <c r="L37" s="866">
        <v>2021</v>
      </c>
      <c r="M37" s="866">
        <v>2020</v>
      </c>
      <c r="N37" s="1113">
        <v>2019</v>
      </c>
      <c r="O37" s="867" t="s">
        <v>1266</v>
      </c>
      <c r="P37" s="868" t="s">
        <v>1113</v>
      </c>
      <c r="Q37" s="867" t="s">
        <v>1119</v>
      </c>
      <c r="R37" s="868" t="s">
        <v>1113</v>
      </c>
    </row>
    <row r="38" spans="1:18" hidden="1" x14ac:dyDescent="0.25">
      <c r="A38" s="8">
        <v>99</v>
      </c>
      <c r="B38" s="869">
        <v>7703.607</v>
      </c>
      <c r="C38" s="869"/>
      <c r="D38" s="870">
        <f>B38+C38</f>
        <v>7703.607</v>
      </c>
      <c r="G38" s="871" t="s">
        <v>1138</v>
      </c>
      <c r="H38" s="872" t="s">
        <v>1139</v>
      </c>
      <c r="I38" s="873">
        <f>SUM(D8:D12)</f>
        <v>4198.6622500004933</v>
      </c>
      <c r="J38" s="873">
        <v>6263.7565699996203</v>
      </c>
      <c r="K38" s="873">
        <v>25630.178290000185</v>
      </c>
      <c r="L38" s="873">
        <v>3630.0254000004097</v>
      </c>
      <c r="M38" s="873">
        <v>11089.915020000091</v>
      </c>
      <c r="N38" s="874">
        <v>3347.8823999999636</v>
      </c>
      <c r="O38" s="874">
        <f>I38-J38</f>
        <v>-2065.094319999127</v>
      </c>
      <c r="P38" s="875">
        <f>O38/J38</f>
        <v>-0.32968942788899797</v>
      </c>
      <c r="Q38" s="1109">
        <f>K38-L38</f>
        <v>22000.152889999776</v>
      </c>
      <c r="R38" s="1112">
        <f>Q38/L38</f>
        <v>6.0606057715180981</v>
      </c>
    </row>
    <row r="39" spans="1:18" hidden="1" x14ac:dyDescent="0.25">
      <c r="A39" s="8">
        <v>41</v>
      </c>
      <c r="B39" s="876">
        <v>2760.6408999999999</v>
      </c>
      <c r="C39" s="876">
        <v>4147.7463699999998</v>
      </c>
      <c r="D39" s="870">
        <f>B39+C39</f>
        <v>6908.3872699999993</v>
      </c>
      <c r="G39" s="871" t="s">
        <v>1140</v>
      </c>
      <c r="H39" s="872" t="s">
        <v>1141</v>
      </c>
      <c r="I39" s="873">
        <f>SUM(D4:D6)</f>
        <v>2706.0259699999579</v>
      </c>
      <c r="J39" s="873">
        <v>-1933.3353399999992</v>
      </c>
      <c r="K39" s="873">
        <v>-3798.8339699999983</v>
      </c>
      <c r="L39" s="873">
        <v>950.57274999999004</v>
      </c>
      <c r="M39" s="873">
        <v>1665.8262399999767</v>
      </c>
      <c r="N39" s="874">
        <v>2176.5558300000189</v>
      </c>
      <c r="O39" s="874">
        <f t="shared" ref="O39:O41" si="4">I39-J39</f>
        <v>4639.3613099999566</v>
      </c>
      <c r="P39" s="875">
        <f t="shared" ref="P39:P41" si="5">O39/J39</f>
        <v>-2.3996671524144171</v>
      </c>
      <c r="Q39" s="877">
        <f>K39-L39</f>
        <v>-4749.4067199999881</v>
      </c>
      <c r="R39" s="878">
        <f>Q39/L39</f>
        <v>-4.9963632136520193</v>
      </c>
    </row>
    <row r="40" spans="1:18" hidden="1" x14ac:dyDescent="0.25">
      <c r="A40" s="108" t="s">
        <v>1142</v>
      </c>
      <c r="B40" s="870">
        <f>B38+B39</f>
        <v>10464.2479</v>
      </c>
      <c r="C40" s="870">
        <f>C38+C39</f>
        <v>4147.7463699999998</v>
      </c>
      <c r="D40" s="870">
        <f>B40+C40</f>
        <v>14611.994269999999</v>
      </c>
      <c r="G40" s="871" t="s">
        <v>1143</v>
      </c>
      <c r="H40" s="872" t="s">
        <v>1144</v>
      </c>
      <c r="I40" s="873">
        <f>D13</f>
        <v>884.51447000001144</v>
      </c>
      <c r="J40" s="873">
        <v>615.67161000000101</v>
      </c>
      <c r="K40" s="873">
        <v>1053.854019999947</v>
      </c>
      <c r="L40" s="873">
        <v>565.76042999995627</v>
      </c>
      <c r="M40" s="873">
        <v>1109.3068699999558</v>
      </c>
      <c r="N40" s="874">
        <v>655.98197999998615</v>
      </c>
      <c r="O40" s="874">
        <f t="shared" si="4"/>
        <v>268.84286000001043</v>
      </c>
      <c r="P40" s="875">
        <f t="shared" si="5"/>
        <v>0.43666600121452731</v>
      </c>
      <c r="Q40" s="1109">
        <f>K40-L40</f>
        <v>488.09358999999074</v>
      </c>
      <c r="R40" s="1112">
        <f>Q40/L40</f>
        <v>0.86272132888478692</v>
      </c>
    </row>
    <row r="41" spans="1:18" hidden="1" x14ac:dyDescent="0.25">
      <c r="A41" s="8" t="s">
        <v>1357</v>
      </c>
      <c r="B41" s="864">
        <f>B23-B40</f>
        <v>0</v>
      </c>
      <c r="C41" s="864">
        <f>C23-C40</f>
        <v>1.9250000000001819</v>
      </c>
      <c r="D41" s="864">
        <f>D23-D40</f>
        <v>1.9250000000010914</v>
      </c>
      <c r="G41" s="871" t="s">
        <v>1145</v>
      </c>
      <c r="H41" s="879" t="s">
        <v>1146</v>
      </c>
      <c r="I41" s="880">
        <f>SUM(D15:D16)</f>
        <v>18139.987610000066</v>
      </c>
      <c r="J41" s="880">
        <v>20182.059300000179</v>
      </c>
      <c r="K41" s="880">
        <v>19870.571469999773</v>
      </c>
      <c r="L41" s="880">
        <v>40494.623319999962</v>
      </c>
      <c r="M41" s="880">
        <v>27689.636530000149</v>
      </c>
      <c r="N41" s="881">
        <v>24343.615209999894</v>
      </c>
      <c r="O41" s="881">
        <f t="shared" si="4"/>
        <v>-2042.0716900001134</v>
      </c>
      <c r="P41" s="882">
        <f t="shared" si="5"/>
        <v>-0.10118252352970221</v>
      </c>
      <c r="Q41" s="1110">
        <f>K41-L41</f>
        <v>-20624.051850000189</v>
      </c>
      <c r="R41" s="1111">
        <f>Q41/L41</f>
        <v>-0.5093034620182314</v>
      </c>
    </row>
    <row r="42" spans="1:18" hidden="1" x14ac:dyDescent="0.25">
      <c r="B42" s="883"/>
      <c r="C42" s="883"/>
      <c r="D42" s="883"/>
      <c r="J42" s="114"/>
      <c r="K42" s="114"/>
      <c r="L42" s="114"/>
      <c r="M42" s="114"/>
    </row>
    <row r="43" spans="1:18" hidden="1" x14ac:dyDescent="0.25">
      <c r="B43" s="883"/>
      <c r="C43" s="883"/>
      <c r="D43" s="883"/>
      <c r="J43" s="114"/>
      <c r="K43" s="114"/>
      <c r="L43" s="114"/>
      <c r="M43" s="114"/>
    </row>
    <row r="44" spans="1:18" hidden="1" x14ac:dyDescent="0.25">
      <c r="B44" s="779" t="s">
        <v>1147</v>
      </c>
    </row>
    <row r="45" spans="1:18" hidden="1" x14ac:dyDescent="0.15">
      <c r="C45" s="1038"/>
      <c r="D45" s="1038"/>
    </row>
    <row r="46" spans="1:18" ht="13.5" hidden="1" thickBot="1" x14ac:dyDescent="0.3">
      <c r="A46" s="884" t="s">
        <v>1148</v>
      </c>
      <c r="B46" s="885" t="s">
        <v>1114</v>
      </c>
      <c r="C46" s="885" t="s">
        <v>1115</v>
      </c>
      <c r="D46" s="885" t="s">
        <v>360</v>
      </c>
      <c r="F46" s="1037">
        <v>1000</v>
      </c>
      <c r="G46" s="8" t="s">
        <v>1204</v>
      </c>
      <c r="N46" s="885" t="s">
        <v>1114</v>
      </c>
      <c r="O46" s="885" t="s">
        <v>1115</v>
      </c>
    </row>
    <row r="47" spans="1:18" hidden="1" x14ac:dyDescent="0.25">
      <c r="A47" s="886" t="s">
        <v>766</v>
      </c>
      <c r="B47" s="1158">
        <v>461.86419000000001</v>
      </c>
      <c r="C47" s="1159">
        <v>526.00483000000008</v>
      </c>
      <c r="D47" s="887">
        <f t="shared" ref="D47:D70" si="6">SUM(B47:C47)</f>
        <v>987.86902000000009</v>
      </c>
      <c r="E47" s="163">
        <v>1</v>
      </c>
      <c r="G47" s="8" t="s">
        <v>1179</v>
      </c>
      <c r="M47" s="108" t="s">
        <v>766</v>
      </c>
      <c r="P47" s="114"/>
      <c r="Q47" s="1039">
        <f t="shared" ref="Q47:Q70" si="7">D47-P47</f>
        <v>987.86902000000009</v>
      </c>
    </row>
    <row r="48" spans="1:18" hidden="1" x14ac:dyDescent="0.25">
      <c r="A48" s="888" t="s">
        <v>767</v>
      </c>
      <c r="B48" s="1160">
        <v>1702.9565700000001</v>
      </c>
      <c r="C48" s="1161">
        <v>2.2000000000000002</v>
      </c>
      <c r="D48" s="889">
        <f t="shared" si="6"/>
        <v>1705.1565700000001</v>
      </c>
      <c r="E48" s="163">
        <v>2</v>
      </c>
      <c r="M48" s="108" t="s">
        <v>767</v>
      </c>
      <c r="P48" s="114"/>
      <c r="Q48" s="1039">
        <f t="shared" si="7"/>
        <v>1705.1565700000001</v>
      </c>
    </row>
    <row r="49" spans="1:17" hidden="1" x14ac:dyDescent="0.25">
      <c r="A49" s="888" t="s">
        <v>768</v>
      </c>
      <c r="B49" s="1160">
        <v>-184.89265000000003</v>
      </c>
      <c r="C49" s="1161">
        <v>197.89303000000001</v>
      </c>
      <c r="D49" s="889">
        <f t="shared" si="6"/>
        <v>13.000379999999979</v>
      </c>
      <c r="E49" s="163">
        <v>3</v>
      </c>
      <c r="M49" s="108" t="s">
        <v>768</v>
      </c>
      <c r="P49" s="114"/>
      <c r="Q49" s="1039">
        <f t="shared" si="7"/>
        <v>13.000379999999979</v>
      </c>
    </row>
    <row r="50" spans="1:17" hidden="1" x14ac:dyDescent="0.25">
      <c r="A50" s="888" t="s">
        <v>769</v>
      </c>
      <c r="B50" s="1160">
        <v>-1295.6304599999999</v>
      </c>
      <c r="C50" s="1161">
        <v>2351.8491800000002</v>
      </c>
      <c r="D50" s="889">
        <f t="shared" si="6"/>
        <v>1056.2187200000003</v>
      </c>
      <c r="E50" s="163">
        <v>4</v>
      </c>
      <c r="M50" s="108" t="s">
        <v>769</v>
      </c>
      <c r="P50" s="114"/>
      <c r="Q50" s="1039">
        <f t="shared" si="7"/>
        <v>1056.2187200000003</v>
      </c>
    </row>
    <row r="51" spans="1:17" hidden="1" x14ac:dyDescent="0.15">
      <c r="A51" s="888" t="s">
        <v>770</v>
      </c>
      <c r="B51" s="1160">
        <v>-7881.5636000000004</v>
      </c>
      <c r="C51" s="1161">
        <v>7991.2778900000003</v>
      </c>
      <c r="D51" s="889">
        <f t="shared" si="6"/>
        <v>109.71428999999989</v>
      </c>
      <c r="E51" s="163">
        <v>5</v>
      </c>
      <c r="F51" s="1038"/>
      <c r="G51" s="1038"/>
      <c r="M51" s="108" t="s">
        <v>770</v>
      </c>
      <c r="P51" s="114"/>
      <c r="Q51" s="1039">
        <f t="shared" si="7"/>
        <v>109.71428999999989</v>
      </c>
    </row>
    <row r="52" spans="1:17" hidden="1" x14ac:dyDescent="0.25">
      <c r="A52" s="888" t="s">
        <v>771</v>
      </c>
      <c r="B52" s="1160">
        <v>-1478.1045100000001</v>
      </c>
      <c r="C52" s="1161">
        <v>1581.29396</v>
      </c>
      <c r="D52" s="889">
        <f t="shared" si="6"/>
        <v>103.18944999999985</v>
      </c>
      <c r="E52" s="163">
        <v>6</v>
      </c>
      <c r="M52" s="108" t="s">
        <v>771</v>
      </c>
      <c r="P52" s="114"/>
      <c r="Q52" s="1039">
        <f t="shared" si="7"/>
        <v>103.18944999999985</v>
      </c>
    </row>
    <row r="53" spans="1:17" hidden="1" x14ac:dyDescent="0.25">
      <c r="A53" s="888" t="s">
        <v>772</v>
      </c>
      <c r="B53" s="1160">
        <v>-1583.5966400000002</v>
      </c>
      <c r="C53" s="1161">
        <v>1700.30134</v>
      </c>
      <c r="D53" s="889">
        <f t="shared" si="6"/>
        <v>116.70469999999978</v>
      </c>
      <c r="E53" s="163">
        <v>7</v>
      </c>
      <c r="M53" s="108" t="s">
        <v>772</v>
      </c>
      <c r="P53" s="114"/>
      <c r="Q53" s="1039">
        <f t="shared" si="7"/>
        <v>116.70469999999978</v>
      </c>
    </row>
    <row r="54" spans="1:17" hidden="1" x14ac:dyDescent="0.25">
      <c r="A54" s="890" t="s">
        <v>773</v>
      </c>
      <c r="B54" s="1160">
        <v>490.36132000000003</v>
      </c>
      <c r="C54" s="1161">
        <v>2843.68579</v>
      </c>
      <c r="D54" s="889">
        <f t="shared" si="6"/>
        <v>3334.04711</v>
      </c>
      <c r="E54" s="163">
        <v>8</v>
      </c>
      <c r="M54" s="108" t="s">
        <v>773</v>
      </c>
      <c r="P54" s="114"/>
      <c r="Q54" s="1039">
        <f t="shared" si="7"/>
        <v>3334.04711</v>
      </c>
    </row>
    <row r="55" spans="1:17" hidden="1" x14ac:dyDescent="0.25">
      <c r="A55" s="888" t="s">
        <v>774</v>
      </c>
      <c r="B55" s="1160">
        <v>419.22944000000001</v>
      </c>
      <c r="C55" s="1161">
        <v>115.77733000000001</v>
      </c>
      <c r="D55" s="889">
        <f t="shared" si="6"/>
        <v>535.00676999999996</v>
      </c>
      <c r="E55" s="163">
        <v>9</v>
      </c>
      <c r="M55" s="108" t="s">
        <v>774</v>
      </c>
      <c r="P55" s="114"/>
      <c r="Q55" s="1039">
        <f t="shared" si="7"/>
        <v>535.00676999999996</v>
      </c>
    </row>
    <row r="56" spans="1:17" hidden="1" x14ac:dyDescent="0.25">
      <c r="A56" s="888" t="s">
        <v>775</v>
      </c>
      <c r="B56" s="1160">
        <v>435.05949000000004</v>
      </c>
      <c r="C56" s="1161">
        <v>449.45498000000003</v>
      </c>
      <c r="D56" s="889">
        <f t="shared" si="6"/>
        <v>884.51447000000007</v>
      </c>
      <c r="E56" s="163">
        <v>10</v>
      </c>
      <c r="M56" s="108" t="s">
        <v>775</v>
      </c>
      <c r="P56" s="114"/>
      <c r="Q56" s="1039">
        <f t="shared" si="7"/>
        <v>884.51447000000007</v>
      </c>
    </row>
    <row r="57" spans="1:17" hidden="1" x14ac:dyDescent="0.25">
      <c r="A57" s="888" t="s">
        <v>776</v>
      </c>
      <c r="B57" s="1160">
        <v>146.43067000000002</v>
      </c>
      <c r="C57" s="1161">
        <v>1008.60662</v>
      </c>
      <c r="D57" s="889">
        <f t="shared" si="6"/>
        <v>1155.03729</v>
      </c>
      <c r="E57" s="163">
        <v>11</v>
      </c>
      <c r="M57" s="108" t="s">
        <v>776</v>
      </c>
      <c r="P57" s="114"/>
      <c r="Q57" s="1039">
        <f t="shared" si="7"/>
        <v>1155.03729</v>
      </c>
    </row>
    <row r="58" spans="1:17" hidden="1" x14ac:dyDescent="0.25">
      <c r="A58" s="888" t="s">
        <v>777</v>
      </c>
      <c r="B58" s="1160">
        <v>1257.9153000000001</v>
      </c>
      <c r="C58" s="1161">
        <v>10289.34885</v>
      </c>
      <c r="D58" s="889">
        <f t="shared" si="6"/>
        <v>11547.264150000001</v>
      </c>
      <c r="E58" s="163">
        <v>12</v>
      </c>
      <c r="M58" s="108" t="s">
        <v>777</v>
      </c>
      <c r="P58" s="114"/>
      <c r="Q58" s="1039">
        <f t="shared" si="7"/>
        <v>11547.264150000001</v>
      </c>
    </row>
    <row r="59" spans="1:17" hidden="1" x14ac:dyDescent="0.25">
      <c r="A59" s="888" t="s">
        <v>778</v>
      </c>
      <c r="B59" s="1160">
        <v>3977.0193600000002</v>
      </c>
      <c r="C59" s="1161">
        <v>2615.7040999999999</v>
      </c>
      <c r="D59" s="889">
        <f t="shared" si="6"/>
        <v>6592.7234600000002</v>
      </c>
      <c r="E59" s="163">
        <v>13</v>
      </c>
      <c r="M59" s="108" t="s">
        <v>778</v>
      </c>
      <c r="P59" s="114"/>
      <c r="Q59" s="1039">
        <f t="shared" si="7"/>
        <v>6592.7234600000002</v>
      </c>
    </row>
    <row r="60" spans="1:17" hidden="1" x14ac:dyDescent="0.25">
      <c r="A60" s="888" t="s">
        <v>779</v>
      </c>
      <c r="B60" s="1160">
        <v>986.85147000000006</v>
      </c>
      <c r="C60" s="1161">
        <v>3874.1191800000001</v>
      </c>
      <c r="D60" s="889">
        <f t="shared" si="6"/>
        <v>4860.9706500000002</v>
      </c>
      <c r="E60" s="163">
        <v>14</v>
      </c>
      <c r="M60" s="108" t="s">
        <v>779</v>
      </c>
      <c r="P60" s="114"/>
      <c r="Q60" s="1039">
        <f t="shared" si="7"/>
        <v>4860.9706500000002</v>
      </c>
    </row>
    <row r="61" spans="1:17" hidden="1" x14ac:dyDescent="0.25">
      <c r="A61" s="888" t="s">
        <v>780</v>
      </c>
      <c r="B61" s="1160">
        <v>1571.2753500000001</v>
      </c>
      <c r="C61" s="1161">
        <v>731.06788000000006</v>
      </c>
      <c r="D61" s="889">
        <f t="shared" si="6"/>
        <v>2302.3432300000004</v>
      </c>
      <c r="E61" s="163">
        <v>15</v>
      </c>
      <c r="M61" s="108" t="s">
        <v>780</v>
      </c>
      <c r="P61" s="114"/>
      <c r="Q61" s="1039">
        <f t="shared" si="7"/>
        <v>2302.3432300000004</v>
      </c>
    </row>
    <row r="62" spans="1:17" hidden="1" x14ac:dyDescent="0.25">
      <c r="A62" s="888" t="s">
        <v>781</v>
      </c>
      <c r="B62" s="1160">
        <v>-6720.0231199999998</v>
      </c>
      <c r="C62" s="1161">
        <v>7407.6620600000006</v>
      </c>
      <c r="D62" s="889">
        <f t="shared" si="6"/>
        <v>687.63894000000073</v>
      </c>
      <c r="E62" s="163">
        <v>16</v>
      </c>
      <c r="M62" s="108" t="s">
        <v>781</v>
      </c>
      <c r="P62" s="114"/>
      <c r="Q62" s="1039">
        <f t="shared" si="7"/>
        <v>687.63894000000073</v>
      </c>
    </row>
    <row r="63" spans="1:17" hidden="1" x14ac:dyDescent="0.25">
      <c r="A63" s="888" t="s">
        <v>782</v>
      </c>
      <c r="B63" s="1160">
        <v>817.32130000000006</v>
      </c>
      <c r="C63" s="1161">
        <v>15.468480000000001</v>
      </c>
      <c r="D63" s="889">
        <f t="shared" si="6"/>
        <v>832.78978000000006</v>
      </c>
      <c r="E63" s="163">
        <v>17</v>
      </c>
      <c r="F63" s="8" t="s">
        <v>1154</v>
      </c>
      <c r="M63" s="108" t="s">
        <v>782</v>
      </c>
      <c r="P63" s="114"/>
      <c r="Q63" s="1039">
        <f t="shared" si="7"/>
        <v>832.78978000000006</v>
      </c>
    </row>
    <row r="64" spans="1:17" hidden="1" x14ac:dyDescent="0.25">
      <c r="A64" s="888" t="s">
        <v>783</v>
      </c>
      <c r="B64" s="1160">
        <v>0</v>
      </c>
      <c r="C64" s="1161">
        <v>1.5078900000000002</v>
      </c>
      <c r="D64" s="889">
        <f t="shared" si="6"/>
        <v>1.5078900000000002</v>
      </c>
      <c r="E64" s="163">
        <v>23</v>
      </c>
      <c r="F64" s="915"/>
      <c r="G64" s="915"/>
      <c r="H64" s="163">
        <v>41</v>
      </c>
      <c r="I64" s="163"/>
      <c r="M64" s="108" t="s">
        <v>783</v>
      </c>
      <c r="P64" s="114"/>
      <c r="Q64" s="1039">
        <f t="shared" si="7"/>
        <v>1.5078900000000002</v>
      </c>
    </row>
    <row r="65" spans="1:17" hidden="1" x14ac:dyDescent="0.25">
      <c r="A65" s="888" t="s">
        <v>784</v>
      </c>
      <c r="B65" s="1160">
        <v>-6532.7748300000003</v>
      </c>
      <c r="C65" s="1161">
        <v>22959.417839999998</v>
      </c>
      <c r="D65" s="889">
        <f t="shared" si="6"/>
        <v>16426.64301</v>
      </c>
      <c r="E65" s="163">
        <v>31</v>
      </c>
      <c r="F65" s="916"/>
      <c r="G65" s="916"/>
      <c r="H65" s="163">
        <v>99</v>
      </c>
      <c r="I65" s="163"/>
      <c r="M65" s="108" t="s">
        <v>784</v>
      </c>
      <c r="P65" s="114"/>
      <c r="Q65" s="1039">
        <f t="shared" si="7"/>
        <v>16426.64301</v>
      </c>
    </row>
    <row r="66" spans="1:17" hidden="1" x14ac:dyDescent="0.25">
      <c r="A66" s="1040" t="s">
        <v>785</v>
      </c>
      <c r="B66" s="1160">
        <f>2760.6409+7703.607</f>
        <v>10464.2479</v>
      </c>
      <c r="C66" s="1293">
        <f>4147.74637+1.925</f>
        <v>4149.67137</v>
      </c>
      <c r="D66" s="889">
        <f t="shared" si="6"/>
        <v>14613.91927</v>
      </c>
      <c r="E66" s="163" t="s">
        <v>1149</v>
      </c>
      <c r="F66" s="8">
        <f>F64+F65</f>
        <v>0</v>
      </c>
      <c r="G66" s="8">
        <f>G64+G65</f>
        <v>0</v>
      </c>
      <c r="H66" s="163" t="s">
        <v>1150</v>
      </c>
      <c r="I66" s="163"/>
      <c r="M66" s="108" t="s">
        <v>785</v>
      </c>
      <c r="P66" s="114"/>
      <c r="Q66" s="1039">
        <f t="shared" si="7"/>
        <v>14613.91927</v>
      </c>
    </row>
    <row r="67" spans="1:17" hidden="1" x14ac:dyDescent="0.25">
      <c r="A67" s="888" t="s">
        <v>786</v>
      </c>
      <c r="B67" s="1160">
        <v>0.60354000000000008</v>
      </c>
      <c r="C67" s="1161">
        <v>5552.4664700000003</v>
      </c>
      <c r="D67" s="889">
        <f t="shared" si="6"/>
        <v>5553.0700100000004</v>
      </c>
      <c r="E67" s="163">
        <v>42</v>
      </c>
      <c r="M67" s="108" t="s">
        <v>786</v>
      </c>
      <c r="P67" s="114"/>
      <c r="Q67" s="1039">
        <f t="shared" si="7"/>
        <v>5553.0700100000004</v>
      </c>
    </row>
    <row r="68" spans="1:17" hidden="1" x14ac:dyDescent="0.25">
      <c r="A68" s="888" t="s">
        <v>787</v>
      </c>
      <c r="B68" s="1160">
        <v>-26293.392310000003</v>
      </c>
      <c r="C68" s="1161">
        <v>27433.163810000002</v>
      </c>
      <c r="D68" s="889">
        <f t="shared" si="6"/>
        <v>1139.7714999999989</v>
      </c>
      <c r="E68" s="163">
        <v>43</v>
      </c>
      <c r="M68" s="108" t="s">
        <v>787</v>
      </c>
      <c r="P68" s="114"/>
      <c r="Q68" s="1039">
        <f t="shared" si="7"/>
        <v>1139.7714999999989</v>
      </c>
    </row>
    <row r="69" spans="1:17" ht="13.5" hidden="1" thickBot="1" x14ac:dyDescent="0.3">
      <c r="A69" s="891" t="s">
        <v>928</v>
      </c>
      <c r="B69" s="1162">
        <v>2457.5195600000002</v>
      </c>
      <c r="C69" s="1163">
        <v>2933.3797400000003</v>
      </c>
      <c r="D69" s="889">
        <f t="shared" si="6"/>
        <v>5390.8993000000009</v>
      </c>
      <c r="E69" s="163">
        <v>47</v>
      </c>
      <c r="M69" s="108" t="s">
        <v>928</v>
      </c>
      <c r="P69" s="114"/>
      <c r="Q69" s="1039">
        <f t="shared" si="7"/>
        <v>5390.8993000000009</v>
      </c>
    </row>
    <row r="70" spans="1:17" ht="13.5" hidden="1" thickBot="1" x14ac:dyDescent="0.3">
      <c r="A70" s="892" t="s">
        <v>1151</v>
      </c>
      <c r="B70" s="893">
        <f>SUM(B47:B69)</f>
        <v>-26781.322660000002</v>
      </c>
      <c r="C70" s="894">
        <f>SUM(C47:C69)</f>
        <v>106731.32262000001</v>
      </c>
      <c r="D70" s="895">
        <f t="shared" si="6"/>
        <v>79949.999960000001</v>
      </c>
      <c r="N70" s="8">
        <f>SUM(N47:N69)</f>
        <v>0</v>
      </c>
      <c r="O70" s="8">
        <f>SUM(O47:O69)</f>
        <v>0</v>
      </c>
      <c r="P70" s="8">
        <f>SUM(P47:P69)</f>
        <v>0</v>
      </c>
      <c r="Q70" s="1039">
        <f t="shared" si="7"/>
        <v>79949.999960000001</v>
      </c>
    </row>
    <row r="71" spans="1:17" hidden="1" x14ac:dyDescent="0.15">
      <c r="B71" s="1038"/>
      <c r="C71" s="1038"/>
    </row>
    <row r="72" spans="1:17" hidden="1" x14ac:dyDescent="0.15">
      <c r="N72" s="1038"/>
      <c r="O72" s="1038"/>
    </row>
    <row r="73" spans="1:17" ht="13.5" hidden="1" thickBot="1" x14ac:dyDescent="0.3">
      <c r="A73" s="779" t="s">
        <v>1152</v>
      </c>
      <c r="B73" s="849" t="s">
        <v>1114</v>
      </c>
      <c r="C73" s="849" t="s">
        <v>1115</v>
      </c>
      <c r="D73" s="849" t="s">
        <v>360</v>
      </c>
    </row>
    <row r="74" spans="1:17" hidden="1" x14ac:dyDescent="0.25">
      <c r="A74" s="896" t="s">
        <v>766</v>
      </c>
      <c r="B74" s="897">
        <f t="shared" ref="B74:C96" si="8">B4-B47</f>
        <v>-1.1596057447604835E-11</v>
      </c>
      <c r="C74" s="898">
        <f t="shared" si="8"/>
        <v>0</v>
      </c>
      <c r="D74" s="899">
        <f t="shared" ref="D74:D97" si="9">SUM(B74:C74)</f>
        <v>-1.1596057447604835E-11</v>
      </c>
      <c r="E74" s="163">
        <v>1</v>
      </c>
    </row>
    <row r="75" spans="1:17" hidden="1" x14ac:dyDescent="0.25">
      <c r="A75" s="900" t="s">
        <v>767</v>
      </c>
      <c r="B75" s="901">
        <f t="shared" si="8"/>
        <v>-2.6375346351414919E-11</v>
      </c>
      <c r="C75" s="902">
        <f t="shared" si="8"/>
        <v>0</v>
      </c>
      <c r="D75" s="903">
        <f t="shared" si="9"/>
        <v>-2.6375346351414919E-11</v>
      </c>
      <c r="E75" s="163">
        <v>2</v>
      </c>
    </row>
    <row r="76" spans="1:17" hidden="1" x14ac:dyDescent="0.25">
      <c r="A76" s="900" t="s">
        <v>768</v>
      </c>
      <c r="B76" s="901">
        <f t="shared" si="8"/>
        <v>-4.2916781239910051E-12</v>
      </c>
      <c r="C76" s="902">
        <f t="shared" si="8"/>
        <v>0</v>
      </c>
      <c r="D76" s="903">
        <f t="shared" si="9"/>
        <v>-4.2916781239910051E-12</v>
      </c>
      <c r="E76" s="163">
        <v>3</v>
      </c>
    </row>
    <row r="77" spans="1:17" hidden="1" x14ac:dyDescent="0.25">
      <c r="A77" s="900" t="s">
        <v>769</v>
      </c>
      <c r="B77" s="901">
        <f t="shared" si="8"/>
        <v>-4.0927261579781771E-12</v>
      </c>
      <c r="C77" s="902">
        <f t="shared" si="8"/>
        <v>0</v>
      </c>
      <c r="D77" s="903">
        <f t="shared" si="9"/>
        <v>-4.0927261579781771E-12</v>
      </c>
      <c r="E77" s="163">
        <v>4</v>
      </c>
    </row>
    <row r="78" spans="1:17" hidden="1" x14ac:dyDescent="0.25">
      <c r="A78" s="900" t="s">
        <v>770</v>
      </c>
      <c r="B78" s="901">
        <f t="shared" si="8"/>
        <v>3.2650859793648124E-10</v>
      </c>
      <c r="C78" s="902">
        <f t="shared" si="8"/>
        <v>0</v>
      </c>
      <c r="D78" s="903">
        <f t="shared" si="9"/>
        <v>3.2650859793648124E-10</v>
      </c>
      <c r="E78" s="163">
        <v>5</v>
      </c>
    </row>
    <row r="79" spans="1:17" hidden="1" x14ac:dyDescent="0.25">
      <c r="A79" s="900" t="s">
        <v>771</v>
      </c>
      <c r="B79" s="901">
        <f t="shared" si="8"/>
        <v>0</v>
      </c>
      <c r="C79" s="902">
        <f t="shared" si="8"/>
        <v>0</v>
      </c>
      <c r="D79" s="903">
        <f t="shared" si="9"/>
        <v>0</v>
      </c>
      <c r="E79" s="163">
        <v>6</v>
      </c>
      <c r="F79" s="849" t="s">
        <v>1114</v>
      </c>
      <c r="G79" s="849" t="s">
        <v>1115</v>
      </c>
      <c r="H79" s="849" t="s">
        <v>360</v>
      </c>
      <c r="I79" s="849"/>
    </row>
    <row r="80" spans="1:17" hidden="1" x14ac:dyDescent="0.25">
      <c r="A80" s="900" t="s">
        <v>772</v>
      </c>
      <c r="B80" s="901">
        <f t="shared" si="8"/>
        <v>1.1868905858136714E-10</v>
      </c>
      <c r="C80" s="902">
        <f t="shared" si="8"/>
        <v>0</v>
      </c>
      <c r="D80" s="903">
        <f t="shared" si="9"/>
        <v>1.1868905858136714E-10</v>
      </c>
      <c r="E80" s="163">
        <v>7</v>
      </c>
      <c r="F80" s="904">
        <v>-98.24769000000083</v>
      </c>
      <c r="G80" s="905">
        <v>98.24768999999992</v>
      </c>
      <c r="H80" s="906">
        <v>-9.0949470177292824E-13</v>
      </c>
      <c r="I80" s="1215"/>
    </row>
    <row r="81" spans="1:5" hidden="1" x14ac:dyDescent="0.25">
      <c r="A81" s="907" t="s">
        <v>773</v>
      </c>
      <c r="B81" s="901">
        <f t="shared" si="8"/>
        <v>-4.9999951500012685E-5</v>
      </c>
      <c r="C81" s="902">
        <f t="shared" si="8"/>
        <v>-1.9999998130515451E-5</v>
      </c>
      <c r="D81" s="903">
        <f t="shared" si="9"/>
        <v>-6.9999949630528135E-5</v>
      </c>
      <c r="E81" s="163">
        <v>8</v>
      </c>
    </row>
    <row r="82" spans="1:5" hidden="1" x14ac:dyDescent="0.25">
      <c r="A82" s="900" t="s">
        <v>774</v>
      </c>
      <c r="B82" s="901">
        <f t="shared" si="8"/>
        <v>0</v>
      </c>
      <c r="C82" s="902">
        <f t="shared" si="8"/>
        <v>0</v>
      </c>
      <c r="D82" s="903">
        <f t="shared" si="9"/>
        <v>0</v>
      </c>
      <c r="E82" s="163">
        <v>9</v>
      </c>
    </row>
    <row r="83" spans="1:5" hidden="1" x14ac:dyDescent="0.25">
      <c r="A83" s="900" t="s">
        <v>775</v>
      </c>
      <c r="B83" s="901">
        <f t="shared" si="8"/>
        <v>1.1425527191022411E-11</v>
      </c>
      <c r="C83" s="902">
        <f t="shared" si="8"/>
        <v>0</v>
      </c>
      <c r="D83" s="903">
        <f t="shared" si="9"/>
        <v>1.1425527191022411E-11</v>
      </c>
      <c r="E83" s="163">
        <v>10</v>
      </c>
    </row>
    <row r="84" spans="1:5" hidden="1" x14ac:dyDescent="0.25">
      <c r="A84" s="900" t="s">
        <v>776</v>
      </c>
      <c r="B84" s="901">
        <f t="shared" si="8"/>
        <v>-1.1124257071060129E-10</v>
      </c>
      <c r="C84" s="902">
        <f t="shared" si="8"/>
        <v>0</v>
      </c>
      <c r="D84" s="903">
        <f t="shared" si="9"/>
        <v>-1.1124257071060129E-10</v>
      </c>
      <c r="E84" s="163">
        <v>11</v>
      </c>
    </row>
    <row r="85" spans="1:5" hidden="1" x14ac:dyDescent="0.25">
      <c r="A85" s="900" t="s">
        <v>777</v>
      </c>
      <c r="B85" s="901">
        <f t="shared" si="8"/>
        <v>2.4419932742603123E-10</v>
      </c>
      <c r="C85" s="902">
        <f t="shared" si="8"/>
        <v>0</v>
      </c>
      <c r="D85" s="903">
        <f t="shared" si="9"/>
        <v>2.4419932742603123E-10</v>
      </c>
      <c r="E85" s="163">
        <v>12</v>
      </c>
    </row>
    <row r="86" spans="1:5" hidden="1" x14ac:dyDescent="0.25">
      <c r="A86" s="900" t="s">
        <v>778</v>
      </c>
      <c r="B86" s="901">
        <f t="shared" si="8"/>
        <v>-1.7462298274040222E-10</v>
      </c>
      <c r="C86" s="902">
        <f t="shared" si="8"/>
        <v>0</v>
      </c>
      <c r="D86" s="903">
        <f t="shared" si="9"/>
        <v>-1.7462298274040222E-10</v>
      </c>
      <c r="E86" s="163">
        <v>13</v>
      </c>
    </row>
    <row r="87" spans="1:5" hidden="1" x14ac:dyDescent="0.25">
      <c r="A87" s="900" t="s">
        <v>779</v>
      </c>
      <c r="B87" s="901">
        <f t="shared" si="8"/>
        <v>-1.1368683772161603E-11</v>
      </c>
      <c r="C87" s="902">
        <f t="shared" si="8"/>
        <v>0</v>
      </c>
      <c r="D87" s="903">
        <f t="shared" si="9"/>
        <v>-1.1368683772161603E-11</v>
      </c>
      <c r="E87" s="163">
        <v>14</v>
      </c>
    </row>
    <row r="88" spans="1:5" hidden="1" x14ac:dyDescent="0.25">
      <c r="A88" s="900" t="s">
        <v>780</v>
      </c>
      <c r="B88" s="901">
        <f t="shared" si="8"/>
        <v>3.6152414395473897E-11</v>
      </c>
      <c r="C88" s="902">
        <f t="shared" si="8"/>
        <v>0</v>
      </c>
      <c r="D88" s="903">
        <f t="shared" si="9"/>
        <v>3.6152414395473897E-11</v>
      </c>
      <c r="E88" s="163">
        <v>15</v>
      </c>
    </row>
    <row r="89" spans="1:5" hidden="1" x14ac:dyDescent="0.25">
      <c r="A89" s="900" t="s">
        <v>781</v>
      </c>
      <c r="B89" s="901">
        <f t="shared" si="8"/>
        <v>-4.5474735088646412E-11</v>
      </c>
      <c r="C89" s="902">
        <f t="shared" si="8"/>
        <v>0</v>
      </c>
      <c r="D89" s="903">
        <f t="shared" si="9"/>
        <v>-4.5474735088646412E-11</v>
      </c>
      <c r="E89" s="163">
        <v>16</v>
      </c>
    </row>
    <row r="90" spans="1:5" hidden="1" x14ac:dyDescent="0.25">
      <c r="A90" s="900" t="s">
        <v>782</v>
      </c>
      <c r="B90" s="901">
        <f t="shared" si="8"/>
        <v>2.2737367544323206E-12</v>
      </c>
      <c r="C90" s="902">
        <f t="shared" si="8"/>
        <v>1.1191048088221578E-13</v>
      </c>
      <c r="D90" s="903">
        <f t="shared" si="9"/>
        <v>2.3856472353145364E-12</v>
      </c>
      <c r="E90" s="163">
        <v>17</v>
      </c>
    </row>
    <row r="91" spans="1:5" hidden="1" x14ac:dyDescent="0.25">
      <c r="A91" s="900" t="s">
        <v>783</v>
      </c>
      <c r="B91" s="901">
        <f t="shared" si="8"/>
        <v>-2.7284841053187847E-12</v>
      </c>
      <c r="C91" s="902">
        <f t="shared" si="8"/>
        <v>3.1530333899354446E-14</v>
      </c>
      <c r="D91" s="903">
        <f t="shared" si="9"/>
        <v>-2.6969537714194303E-12</v>
      </c>
      <c r="E91" s="163">
        <v>23</v>
      </c>
    </row>
    <row r="92" spans="1:5" hidden="1" x14ac:dyDescent="0.25">
      <c r="A92" s="900" t="s">
        <v>784</v>
      </c>
      <c r="B92" s="901">
        <f t="shared" si="8"/>
        <v>-2.0918378140777349E-11</v>
      </c>
      <c r="C92" s="902">
        <f t="shared" si="8"/>
        <v>0</v>
      </c>
      <c r="D92" s="903">
        <f t="shared" si="9"/>
        <v>-2.0918378140777349E-11</v>
      </c>
      <c r="E92" s="163">
        <v>31</v>
      </c>
    </row>
    <row r="93" spans="1:5" hidden="1" x14ac:dyDescent="0.25">
      <c r="A93" s="900" t="s">
        <v>785</v>
      </c>
      <c r="B93" s="901">
        <f t="shared" si="8"/>
        <v>0</v>
      </c>
      <c r="C93" s="902">
        <f t="shared" si="8"/>
        <v>0</v>
      </c>
      <c r="D93" s="903">
        <f t="shared" si="9"/>
        <v>0</v>
      </c>
      <c r="E93" s="163" t="s">
        <v>1149</v>
      </c>
    </row>
    <row r="94" spans="1:5" hidden="1" x14ac:dyDescent="0.25">
      <c r="A94" s="900" t="s">
        <v>786</v>
      </c>
      <c r="B94" s="901">
        <f t="shared" si="8"/>
        <v>-1.0847656106705017E-11</v>
      </c>
      <c r="C94" s="902">
        <f t="shared" si="8"/>
        <v>0</v>
      </c>
      <c r="D94" s="903">
        <f t="shared" si="9"/>
        <v>-1.0847656106705017E-11</v>
      </c>
      <c r="E94" s="163">
        <v>42</v>
      </c>
    </row>
    <row r="95" spans="1:5" hidden="1" x14ac:dyDescent="0.25">
      <c r="A95" s="900" t="s">
        <v>787</v>
      </c>
      <c r="B95" s="901">
        <f t="shared" si="8"/>
        <v>0</v>
      </c>
      <c r="C95" s="902">
        <f t="shared" si="8"/>
        <v>0</v>
      </c>
      <c r="D95" s="903">
        <f t="shared" si="9"/>
        <v>0</v>
      </c>
      <c r="E95" s="163">
        <v>43</v>
      </c>
    </row>
    <row r="96" spans="1:5" ht="13.5" hidden="1" thickBot="1" x14ac:dyDescent="0.3">
      <c r="A96" s="908" t="s">
        <v>928</v>
      </c>
      <c r="B96" s="909">
        <f t="shared" si="8"/>
        <v>0</v>
      </c>
      <c r="C96" s="910">
        <f t="shared" si="8"/>
        <v>0</v>
      </c>
      <c r="D96" s="903">
        <f t="shared" si="9"/>
        <v>0</v>
      </c>
      <c r="E96" s="163">
        <v>47</v>
      </c>
    </row>
    <row r="97" spans="1:4" ht="13.5" hidden="1" thickBot="1" x14ac:dyDescent="0.3">
      <c r="A97" s="911" t="s">
        <v>1151</v>
      </c>
      <c r="B97" s="912">
        <f>SUM(B74:B96)</f>
        <v>-4.9999635810649146E-5</v>
      </c>
      <c r="C97" s="913">
        <f>SUM(C74:C96)</f>
        <v>-1.9999997987074636E-5</v>
      </c>
      <c r="D97" s="914">
        <f t="shared" si="9"/>
        <v>-6.9999633797723781E-5</v>
      </c>
    </row>
  </sheetData>
  <sheetProtection formatRows="0" insertRows="0" deleteRows="0"/>
  <mergeCells count="1">
    <mergeCell ref="A30:D30"/>
  </mergeCells>
  <printOptions horizontalCentered="1"/>
  <pageMargins left="0.7" right="0.7" top="0.75" bottom="0.75" header="0.3" footer="0.3"/>
  <pageSetup paperSize="9" orientation="landscape"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R72"/>
  <sheetViews>
    <sheetView zoomScale="96" zoomScaleNormal="96" workbookViewId="0">
      <pane xSplit="7" ySplit="6" topLeftCell="H42" activePane="bottomRight" state="frozen"/>
      <selection activeCell="B151" sqref="B151"/>
      <selection pane="topRight" activeCell="B151" sqref="B151"/>
      <selection pane="bottomLeft" activeCell="B151" sqref="B151"/>
      <selection pane="bottomRight" activeCell="B151" sqref="B151"/>
    </sheetView>
  </sheetViews>
  <sheetFormatPr defaultColWidth="9.140625" defaultRowHeight="12.75" x14ac:dyDescent="0.25"/>
  <cols>
    <col min="1" max="1" width="1.42578125" style="6" customWidth="1"/>
    <col min="2" max="2" width="4.42578125" style="6" customWidth="1"/>
    <col min="3" max="3" width="3.140625" style="6" customWidth="1"/>
    <col min="4" max="5" width="6.140625" style="6" customWidth="1"/>
    <col min="6" max="6" width="43.5703125" style="6" customWidth="1"/>
    <col min="7" max="7" width="5.28515625" style="17" customWidth="1"/>
    <col min="8" max="13" width="11.5703125" style="6" customWidth="1"/>
    <col min="14" max="14" width="2" style="40" customWidth="1"/>
    <col min="15" max="15" width="9.140625" style="6"/>
    <col min="16" max="16" width="0" style="6" hidden="1" customWidth="1"/>
    <col min="17" max="16384" width="9.140625" style="6"/>
  </cols>
  <sheetData>
    <row r="1" spans="1:18" ht="22.5" customHeight="1" x14ac:dyDescent="0.25">
      <c r="A1" s="398" t="s">
        <v>924</v>
      </c>
      <c r="B1" s="40"/>
      <c r="C1" s="40"/>
      <c r="D1" s="40"/>
      <c r="E1" s="40"/>
      <c r="F1" s="41"/>
      <c r="G1" s="42"/>
      <c r="H1" s="40"/>
      <c r="I1" s="40"/>
      <c r="J1" s="40"/>
      <c r="K1" s="40"/>
      <c r="L1" s="40"/>
      <c r="M1" s="40"/>
      <c r="N1" s="5"/>
    </row>
    <row r="2" spans="1:18" ht="22.5" customHeight="1" x14ac:dyDescent="0.25">
      <c r="A2" s="398"/>
      <c r="B2" s="40"/>
      <c r="C2" s="40"/>
      <c r="D2" s="40"/>
      <c r="E2" s="40"/>
      <c r="F2" s="41"/>
      <c r="G2" s="42"/>
      <c r="H2" s="40"/>
      <c r="I2" s="40"/>
      <c r="J2" s="40"/>
      <c r="K2" s="40"/>
      <c r="L2" s="40"/>
      <c r="M2" s="40"/>
      <c r="N2" s="5"/>
    </row>
    <row r="3" spans="1:18" ht="27" customHeight="1" thickBot="1" x14ac:dyDescent="0.3">
      <c r="A3" s="39"/>
      <c r="B3" s="40"/>
      <c r="C3" s="40"/>
      <c r="D3" s="40"/>
      <c r="E3" s="40"/>
      <c r="F3" s="41"/>
      <c r="G3" s="42"/>
      <c r="H3" s="40"/>
      <c r="I3" s="40"/>
      <c r="J3" s="40"/>
      <c r="K3" s="40"/>
      <c r="L3" s="40"/>
      <c r="M3" s="393" t="s">
        <v>623</v>
      </c>
      <c r="N3" s="922"/>
    </row>
    <row r="4" spans="1:18" ht="14.25" customHeight="1" x14ac:dyDescent="0.25">
      <c r="A4" s="1342" t="s">
        <v>522</v>
      </c>
      <c r="B4" s="1343"/>
      <c r="C4" s="1343"/>
      <c r="D4" s="1343"/>
      <c r="E4" s="1343"/>
      <c r="F4" s="1344"/>
      <c r="G4" s="1351" t="s">
        <v>341</v>
      </c>
      <c r="H4" s="1354" t="s">
        <v>523</v>
      </c>
      <c r="I4" s="1355"/>
      <c r="J4" s="1354" t="s">
        <v>524</v>
      </c>
      <c r="K4" s="1355"/>
      <c r="L4" s="1354" t="s">
        <v>525</v>
      </c>
      <c r="M4" s="1356"/>
      <c r="N4" s="923"/>
    </row>
    <row r="5" spans="1:18" ht="13.5" customHeight="1" x14ac:dyDescent="0.25">
      <c r="A5" s="1345"/>
      <c r="B5" s="1346"/>
      <c r="C5" s="1346"/>
      <c r="D5" s="1346"/>
      <c r="E5" s="1346"/>
      <c r="F5" s="1347"/>
      <c r="G5" s="1352"/>
      <c r="H5" s="924" t="s">
        <v>526</v>
      </c>
      <c r="I5" s="925" t="s">
        <v>342</v>
      </c>
      <c r="J5" s="924" t="s">
        <v>470</v>
      </c>
      <c r="K5" s="925" t="s">
        <v>342</v>
      </c>
      <c r="L5" s="924" t="s">
        <v>470</v>
      </c>
      <c r="M5" s="926" t="s">
        <v>342</v>
      </c>
      <c r="N5" s="42"/>
    </row>
    <row r="6" spans="1:18" ht="11.25" customHeight="1" thickBot="1" x14ac:dyDescent="0.3">
      <c r="A6" s="1348"/>
      <c r="B6" s="1349"/>
      <c r="C6" s="1349"/>
      <c r="D6" s="1349"/>
      <c r="E6" s="1349"/>
      <c r="F6" s="1350"/>
      <c r="G6" s="1353"/>
      <c r="H6" s="927">
        <v>1</v>
      </c>
      <c r="I6" s="928">
        <v>2</v>
      </c>
      <c r="J6" s="927">
        <v>3</v>
      </c>
      <c r="K6" s="928">
        <v>4</v>
      </c>
      <c r="L6" s="927">
        <v>5</v>
      </c>
      <c r="M6" s="929">
        <v>6</v>
      </c>
      <c r="N6" s="930"/>
    </row>
    <row r="7" spans="1:18" ht="12.75" customHeight="1" x14ac:dyDescent="0.25">
      <c r="A7" s="1357" t="s">
        <v>935</v>
      </c>
      <c r="B7" s="1358"/>
      <c r="C7" s="1358"/>
      <c r="D7" s="1358"/>
      <c r="E7" s="1358"/>
      <c r="F7" s="1359"/>
      <c r="G7" s="426">
        <v>1</v>
      </c>
      <c r="H7" s="593">
        <f t="shared" ref="H7:M7" si="0">+H8+H33</f>
        <v>11691473.159899998</v>
      </c>
      <c r="I7" s="594">
        <f t="shared" si="0"/>
        <v>11093341.534298003</v>
      </c>
      <c r="J7" s="595">
        <f t="shared" si="0"/>
        <v>3050376.7521999995</v>
      </c>
      <c r="K7" s="596">
        <f t="shared" si="0"/>
        <v>3132895.1921399995</v>
      </c>
      <c r="L7" s="595">
        <f t="shared" si="0"/>
        <v>14741849.9121</v>
      </c>
      <c r="M7" s="597">
        <f t="shared" si="0"/>
        <v>14226236.726438003</v>
      </c>
      <c r="N7" s="42"/>
    </row>
    <row r="8" spans="1:18" ht="12.75" customHeight="1" x14ac:dyDescent="0.25">
      <c r="A8" s="427"/>
      <c r="B8" s="1361" t="s">
        <v>1264</v>
      </c>
      <c r="C8" s="1361"/>
      <c r="D8" s="1361"/>
      <c r="E8" s="1361"/>
      <c r="F8" s="1362"/>
      <c r="G8" s="428">
        <f>G7+1</f>
        <v>2</v>
      </c>
      <c r="H8" s="598">
        <f t="shared" ref="H8:M8" si="1">+H9+H19+H26</f>
        <v>11422295.430469999</v>
      </c>
      <c r="I8" s="599">
        <f t="shared" si="1"/>
        <v>10824435.390108002</v>
      </c>
      <c r="J8" s="600">
        <f t="shared" si="1"/>
        <v>3048832.8977699997</v>
      </c>
      <c r="K8" s="601">
        <f t="shared" si="1"/>
        <v>3131351.3377099996</v>
      </c>
      <c r="L8" s="600">
        <f t="shared" si="1"/>
        <v>14471128.32824</v>
      </c>
      <c r="M8" s="602">
        <f t="shared" si="1"/>
        <v>13955786.727818003</v>
      </c>
      <c r="N8" s="42"/>
      <c r="R8" s="603"/>
    </row>
    <row r="9" spans="1:18" ht="12.75" customHeight="1" x14ac:dyDescent="0.25">
      <c r="A9" s="429"/>
      <c r="B9" s="430"/>
      <c r="C9" s="431" t="s">
        <v>527</v>
      </c>
      <c r="D9" s="432" t="s">
        <v>936</v>
      </c>
      <c r="E9" s="430"/>
      <c r="F9" s="433"/>
      <c r="G9" s="434">
        <f t="shared" ref="G9:G35" si="2">G8+1</f>
        <v>3</v>
      </c>
      <c r="H9" s="604">
        <f t="shared" ref="H9:M9" si="3">+H10+H13</f>
        <v>9684815.4160399996</v>
      </c>
      <c r="I9" s="605">
        <f t="shared" si="3"/>
        <v>9437012.5539080016</v>
      </c>
      <c r="J9" s="606">
        <f t="shared" si="3"/>
        <v>3025713.2491699997</v>
      </c>
      <c r="K9" s="607">
        <f t="shared" si="3"/>
        <v>3118788.6891099997</v>
      </c>
      <c r="L9" s="606">
        <f t="shared" si="3"/>
        <v>12710528.665210001</v>
      </c>
      <c r="M9" s="608">
        <f t="shared" si="3"/>
        <v>12555801.243018001</v>
      </c>
      <c r="N9" s="42"/>
      <c r="P9" s="6">
        <f>L9*100/L7</f>
        <v>86.220716809613521</v>
      </c>
    </row>
    <row r="10" spans="1:18" ht="12.75" customHeight="1" x14ac:dyDescent="0.25">
      <c r="A10" s="435"/>
      <c r="B10" s="436"/>
      <c r="C10" s="436"/>
      <c r="D10" s="436" t="s">
        <v>343</v>
      </c>
      <c r="E10" s="436" t="s">
        <v>937</v>
      </c>
      <c r="F10" s="437"/>
      <c r="G10" s="438">
        <f t="shared" si="2"/>
        <v>4</v>
      </c>
      <c r="H10" s="609">
        <f t="shared" ref="H10:M10" si="4">+H11+H12</f>
        <v>1006844.37579</v>
      </c>
      <c r="I10" s="610">
        <f t="shared" si="4"/>
        <v>767143.89803799998</v>
      </c>
      <c r="J10" s="611">
        <f t="shared" si="4"/>
        <v>2109402.1589299999</v>
      </c>
      <c r="K10" s="612">
        <f t="shared" si="4"/>
        <v>2106458.90906</v>
      </c>
      <c r="L10" s="611">
        <f t="shared" si="4"/>
        <v>3116246.5347199999</v>
      </c>
      <c r="M10" s="613">
        <f t="shared" si="4"/>
        <v>2873602.8070980003</v>
      </c>
      <c r="N10" s="42"/>
      <c r="R10" s="603"/>
    </row>
    <row r="11" spans="1:18" ht="12.75" customHeight="1" x14ac:dyDescent="0.25">
      <c r="A11" s="439"/>
      <c r="B11" s="440"/>
      <c r="C11" s="440"/>
      <c r="D11" s="440"/>
      <c r="E11" s="440" t="s">
        <v>527</v>
      </c>
      <c r="F11" s="440" t="s">
        <v>529</v>
      </c>
      <c r="G11" s="931">
        <f t="shared" si="2"/>
        <v>5</v>
      </c>
      <c r="H11" s="932">
        <f>'5.d'!H6</f>
        <v>163648.05531999998</v>
      </c>
      <c r="I11" s="933">
        <f>'5.d'!I6</f>
        <v>127339.03156</v>
      </c>
      <c r="J11" s="932">
        <f>'5.d'!J6</f>
        <v>1771977.6931699999</v>
      </c>
      <c r="K11" s="933">
        <f>'5.d'!K6</f>
        <v>1859359.29507</v>
      </c>
      <c r="L11" s="934">
        <f>'5.d'!L6</f>
        <v>1935625.7484899999</v>
      </c>
      <c r="M11" s="935">
        <f>'5.d'!M6</f>
        <v>1986698.3266300003</v>
      </c>
      <c r="N11" s="936"/>
    </row>
    <row r="12" spans="1:18" ht="12.75" customHeight="1" x14ac:dyDescent="0.25">
      <c r="A12" s="439"/>
      <c r="B12" s="440"/>
      <c r="C12" s="440"/>
      <c r="D12" s="440"/>
      <c r="E12" s="40"/>
      <c r="F12" s="440" t="s">
        <v>530</v>
      </c>
      <c r="G12" s="931">
        <f t="shared" si="2"/>
        <v>6</v>
      </c>
      <c r="H12" s="932">
        <f>'5.d'!H18</f>
        <v>843196.32046999992</v>
      </c>
      <c r="I12" s="933">
        <f>'5.d'!I18</f>
        <v>639804.86647799995</v>
      </c>
      <c r="J12" s="934">
        <f>'5.d'!J18</f>
        <v>337424.46575999999</v>
      </c>
      <c r="K12" s="937">
        <f>'5.d'!K18</f>
        <v>247099.61399000001</v>
      </c>
      <c r="L12" s="934">
        <f>'5.d'!L18</f>
        <v>1180620.78623</v>
      </c>
      <c r="M12" s="935">
        <f>'5.d'!M18</f>
        <v>886904.48046800005</v>
      </c>
      <c r="N12" s="936"/>
      <c r="R12" s="603"/>
    </row>
    <row r="13" spans="1:18" ht="12.75" customHeight="1" x14ac:dyDescent="0.25">
      <c r="A13" s="435"/>
      <c r="B13" s="436"/>
      <c r="C13" s="436"/>
      <c r="D13" s="436"/>
      <c r="E13" s="436" t="s">
        <v>938</v>
      </c>
      <c r="F13" s="437"/>
      <c r="G13" s="438">
        <f>G12+1</f>
        <v>7</v>
      </c>
      <c r="H13" s="609">
        <f t="shared" ref="H13:M13" si="5">+H14+H18</f>
        <v>8677971.0402499996</v>
      </c>
      <c r="I13" s="610">
        <f t="shared" si="5"/>
        <v>8669868.6558700018</v>
      </c>
      <c r="J13" s="611">
        <f t="shared" si="5"/>
        <v>916311.09024000005</v>
      </c>
      <c r="K13" s="612">
        <f t="shared" si="5"/>
        <v>1012329.7800499999</v>
      </c>
      <c r="L13" s="611">
        <f t="shared" si="5"/>
        <v>9594282.1304900013</v>
      </c>
      <c r="M13" s="613">
        <f t="shared" si="5"/>
        <v>9682198.4359200001</v>
      </c>
      <c r="N13" s="42"/>
    </row>
    <row r="14" spans="1:18" ht="12.75" customHeight="1" x14ac:dyDescent="0.25">
      <c r="A14" s="441"/>
      <c r="B14" s="440"/>
      <c r="C14" s="440"/>
      <c r="D14" s="440"/>
      <c r="E14" s="440" t="s">
        <v>527</v>
      </c>
      <c r="F14" s="440" t="s">
        <v>939</v>
      </c>
      <c r="G14" s="442">
        <f t="shared" si="2"/>
        <v>8</v>
      </c>
      <c r="H14" s="932">
        <f t="shared" ref="H14:M14" si="6">+H15+H16+H17</f>
        <v>5884215.1007500002</v>
      </c>
      <c r="I14" s="933">
        <f t="shared" si="6"/>
        <v>5877095.6438500006</v>
      </c>
      <c r="J14" s="934">
        <f t="shared" si="6"/>
        <v>784356.92223999999</v>
      </c>
      <c r="K14" s="937">
        <f t="shared" si="6"/>
        <v>880834.03760999988</v>
      </c>
      <c r="L14" s="934">
        <f t="shared" si="6"/>
        <v>6668572.0229900004</v>
      </c>
      <c r="M14" s="935">
        <f t="shared" si="6"/>
        <v>6757929.6814600006</v>
      </c>
      <c r="N14" s="936"/>
    </row>
    <row r="15" spans="1:18" ht="12.75" customHeight="1" x14ac:dyDescent="0.25">
      <c r="A15" s="441"/>
      <c r="B15" s="440"/>
      <c r="C15" s="440"/>
      <c r="D15" s="440"/>
      <c r="E15" s="40"/>
      <c r="F15" s="440" t="s">
        <v>567</v>
      </c>
      <c r="G15" s="442">
        <f t="shared" si="2"/>
        <v>9</v>
      </c>
      <c r="H15" s="932">
        <f>'5.a'!E8</f>
        <v>5727382.374280001</v>
      </c>
      <c r="I15" s="933">
        <f>'5.a'!F8</f>
        <v>5727382.374280001</v>
      </c>
      <c r="J15" s="934">
        <f>'5.a'!G8</f>
        <v>148601.05989999999</v>
      </c>
      <c r="K15" s="937">
        <f>'5.a'!H8</f>
        <v>148684.87406999999</v>
      </c>
      <c r="L15" s="934">
        <f t="shared" ref="L15:M18" si="7">+H15+J15</f>
        <v>5875983.4341800008</v>
      </c>
      <c r="M15" s="935">
        <f t="shared" si="7"/>
        <v>5876067.2483500009</v>
      </c>
      <c r="N15" s="936"/>
    </row>
    <row r="16" spans="1:18" ht="12.75" customHeight="1" x14ac:dyDescent="0.25">
      <c r="A16" s="443"/>
      <c r="B16" s="440"/>
      <c r="C16" s="440"/>
      <c r="D16" s="440"/>
      <c r="E16" s="440"/>
      <c r="F16" s="440" t="s">
        <v>566</v>
      </c>
      <c r="G16" s="442">
        <f t="shared" si="2"/>
        <v>10</v>
      </c>
      <c r="H16" s="932">
        <f>'5.c'!E22</f>
        <v>64767.317580000003</v>
      </c>
      <c r="I16" s="933">
        <f>'5.c'!F22</f>
        <v>61005.762560000003</v>
      </c>
      <c r="J16" s="934">
        <f>'5.c'!G22</f>
        <v>635755.86233999999</v>
      </c>
      <c r="K16" s="937">
        <f>'5.c'!H22</f>
        <v>732149.16353999986</v>
      </c>
      <c r="L16" s="934">
        <f t="shared" si="7"/>
        <v>700523.17992000002</v>
      </c>
      <c r="M16" s="935">
        <f t="shared" si="7"/>
        <v>793154.92609999981</v>
      </c>
      <c r="N16" s="936"/>
    </row>
    <row r="17" spans="1:16" ht="12.75" customHeight="1" x14ac:dyDescent="0.25">
      <c r="A17" s="441"/>
      <c r="B17" s="440"/>
      <c r="C17" s="440"/>
      <c r="D17" s="440"/>
      <c r="E17" s="40"/>
      <c r="F17" s="440" t="s">
        <v>568</v>
      </c>
      <c r="G17" s="442">
        <f t="shared" si="2"/>
        <v>11</v>
      </c>
      <c r="H17" s="932">
        <f>'5.a'!E19</f>
        <v>92065.408889999992</v>
      </c>
      <c r="I17" s="933">
        <f>'5.a'!F19</f>
        <v>88707.507010000001</v>
      </c>
      <c r="J17" s="934">
        <f>'5.a'!G19</f>
        <v>0</v>
      </c>
      <c r="K17" s="937">
        <f>'5.a'!H19</f>
        <v>0</v>
      </c>
      <c r="L17" s="934">
        <f t="shared" si="7"/>
        <v>92065.408889999992</v>
      </c>
      <c r="M17" s="935">
        <f t="shared" si="7"/>
        <v>88707.507010000001</v>
      </c>
      <c r="N17" s="936"/>
    </row>
    <row r="18" spans="1:16" ht="12.75" customHeight="1" x14ac:dyDescent="0.25">
      <c r="A18" s="444"/>
      <c r="B18" s="440"/>
      <c r="C18" s="440"/>
      <c r="D18" s="440"/>
      <c r="E18" s="440"/>
      <c r="F18" s="440" t="s">
        <v>530</v>
      </c>
      <c r="G18" s="442">
        <f t="shared" si="2"/>
        <v>12</v>
      </c>
      <c r="H18" s="932">
        <f>'5.b'!E7</f>
        <v>2793755.9395000003</v>
      </c>
      <c r="I18" s="933">
        <f>'5.b'!F7</f>
        <v>2792773.0120200003</v>
      </c>
      <c r="J18" s="934">
        <f>'5.b'!G7</f>
        <v>131954.16800000001</v>
      </c>
      <c r="K18" s="937">
        <f>'5.b'!H7</f>
        <v>131495.74244</v>
      </c>
      <c r="L18" s="934">
        <f t="shared" si="7"/>
        <v>2925710.1075000004</v>
      </c>
      <c r="M18" s="935">
        <f t="shared" si="7"/>
        <v>2924268.7544600004</v>
      </c>
      <c r="N18" s="936"/>
    </row>
    <row r="19" spans="1:16" ht="12.75" customHeight="1" x14ac:dyDescent="0.25">
      <c r="A19" s="429"/>
      <c r="B19" s="430"/>
      <c r="C19" s="431"/>
      <c r="D19" s="432" t="s">
        <v>940</v>
      </c>
      <c r="E19" s="430"/>
      <c r="F19" s="433"/>
      <c r="G19" s="434">
        <f t="shared" si="2"/>
        <v>13</v>
      </c>
      <c r="H19" s="604">
        <f t="shared" ref="H19:M19" si="8">+H20+H23</f>
        <v>1732546.0883600002</v>
      </c>
      <c r="I19" s="605">
        <f t="shared" si="8"/>
        <v>1380503.0645300001</v>
      </c>
      <c r="J19" s="606">
        <f t="shared" si="8"/>
        <v>17520.6486</v>
      </c>
      <c r="K19" s="607">
        <f t="shared" si="8"/>
        <v>12562.6486</v>
      </c>
      <c r="L19" s="606">
        <f t="shared" si="8"/>
        <v>1750066.7369599999</v>
      </c>
      <c r="M19" s="608">
        <f t="shared" si="8"/>
        <v>1393065.71313</v>
      </c>
      <c r="N19" s="42"/>
      <c r="P19" s="6">
        <f>L19*100/L7</f>
        <v>11.871418766267306</v>
      </c>
    </row>
    <row r="20" spans="1:16" ht="12.75" customHeight="1" x14ac:dyDescent="0.25">
      <c r="A20" s="435"/>
      <c r="B20" s="436"/>
      <c r="C20" s="436"/>
      <c r="D20" s="436" t="s">
        <v>343</v>
      </c>
      <c r="E20" s="436" t="s">
        <v>941</v>
      </c>
      <c r="F20" s="437"/>
      <c r="G20" s="438">
        <f t="shared" si="2"/>
        <v>14</v>
      </c>
      <c r="H20" s="609">
        <f t="shared" ref="H20:M20" si="9">+H21+H22</f>
        <v>355924.88297999999</v>
      </c>
      <c r="I20" s="610">
        <f t="shared" si="9"/>
        <v>19276.582500000004</v>
      </c>
      <c r="J20" s="611">
        <f t="shared" si="9"/>
        <v>11665.7156</v>
      </c>
      <c r="K20" s="612">
        <f t="shared" si="9"/>
        <v>6707.7156000000004</v>
      </c>
      <c r="L20" s="611">
        <f t="shared" si="9"/>
        <v>367590.59857999999</v>
      </c>
      <c r="M20" s="613">
        <f t="shared" si="9"/>
        <v>25984.2981</v>
      </c>
      <c r="N20" s="42"/>
    </row>
    <row r="21" spans="1:16" ht="12.75" customHeight="1" x14ac:dyDescent="0.25">
      <c r="A21" s="439"/>
      <c r="B21" s="440"/>
      <c r="C21" s="440"/>
      <c r="D21" s="440"/>
      <c r="E21" s="440" t="s">
        <v>527</v>
      </c>
      <c r="F21" s="440" t="s">
        <v>529</v>
      </c>
      <c r="G21" s="442">
        <f t="shared" si="2"/>
        <v>15</v>
      </c>
      <c r="H21" s="938">
        <f>'5.d'!H30</f>
        <v>9931.2189800000015</v>
      </c>
      <c r="I21" s="939">
        <f>'5.d'!I30</f>
        <v>8131.7748499999998</v>
      </c>
      <c r="J21" s="938">
        <f>'5.d'!J30</f>
        <v>11665.7156</v>
      </c>
      <c r="K21" s="939">
        <f>'5.d'!K30</f>
        <v>6707.7156000000004</v>
      </c>
      <c r="L21" s="934">
        <f>'5.d'!L30</f>
        <v>21596.934580000001</v>
      </c>
      <c r="M21" s="935">
        <f>'5.d'!M30</f>
        <v>14839.490449999999</v>
      </c>
      <c r="N21" s="936"/>
    </row>
    <row r="22" spans="1:16" ht="12.75" customHeight="1" x14ac:dyDescent="0.25">
      <c r="A22" s="439"/>
      <c r="B22" s="440"/>
      <c r="C22" s="440"/>
      <c r="D22" s="440"/>
      <c r="E22" s="40"/>
      <c r="F22" s="440" t="s">
        <v>530</v>
      </c>
      <c r="G22" s="442">
        <f t="shared" si="2"/>
        <v>16</v>
      </c>
      <c r="H22" s="938">
        <f>'5.d'!H49</f>
        <v>345993.66399999999</v>
      </c>
      <c r="I22" s="939">
        <f>'5.d'!I49</f>
        <v>11144.807650000002</v>
      </c>
      <c r="J22" s="940">
        <f>'5.d'!J49</f>
        <v>0</v>
      </c>
      <c r="K22" s="941">
        <f>'5.d'!K49</f>
        <v>0</v>
      </c>
      <c r="L22" s="934">
        <f>'5.d'!L49</f>
        <v>345993.66399999999</v>
      </c>
      <c r="M22" s="935">
        <f>'5.d'!M49</f>
        <v>11144.807650000002</v>
      </c>
      <c r="N22" s="936"/>
    </row>
    <row r="23" spans="1:16" ht="12.75" customHeight="1" x14ac:dyDescent="0.25">
      <c r="A23" s="435"/>
      <c r="B23" s="436"/>
      <c r="C23" s="436"/>
      <c r="D23" s="436"/>
      <c r="E23" s="436" t="s">
        <v>942</v>
      </c>
      <c r="F23" s="437"/>
      <c r="G23" s="438">
        <f>G22+1</f>
        <v>17</v>
      </c>
      <c r="H23" s="609">
        <f t="shared" ref="H23:M23" si="10">+H24+H25</f>
        <v>1376621.2053800002</v>
      </c>
      <c r="I23" s="610">
        <f t="shared" si="10"/>
        <v>1361226.4820300001</v>
      </c>
      <c r="J23" s="611">
        <f t="shared" si="10"/>
        <v>5854.933</v>
      </c>
      <c r="K23" s="612">
        <f t="shared" si="10"/>
        <v>5854.933</v>
      </c>
      <c r="L23" s="611">
        <f t="shared" si="10"/>
        <v>1382476.1383799999</v>
      </c>
      <c r="M23" s="613">
        <f t="shared" si="10"/>
        <v>1367081.41503</v>
      </c>
      <c r="N23" s="42"/>
    </row>
    <row r="24" spans="1:16" ht="12.75" customHeight="1" x14ac:dyDescent="0.25">
      <c r="A24" s="441"/>
      <c r="B24" s="440"/>
      <c r="C24" s="440"/>
      <c r="D24" s="440"/>
      <c r="E24" s="440" t="s">
        <v>527</v>
      </c>
      <c r="F24" s="440" t="s">
        <v>529</v>
      </c>
      <c r="G24" s="442">
        <f t="shared" si="2"/>
        <v>18</v>
      </c>
      <c r="H24" s="932">
        <f>'5.a'!E26</f>
        <v>186066.29243000003</v>
      </c>
      <c r="I24" s="933">
        <f>'5.a'!F26</f>
        <v>185663.26146000001</v>
      </c>
      <c r="J24" s="934">
        <f>'5.a'!G26</f>
        <v>0</v>
      </c>
      <c r="K24" s="937">
        <f>'5.a'!H26</f>
        <v>0</v>
      </c>
      <c r="L24" s="934">
        <f>+H24+J24</f>
        <v>186066.29243000003</v>
      </c>
      <c r="M24" s="935">
        <f>+I24+K24</f>
        <v>185663.26146000001</v>
      </c>
      <c r="N24" s="936"/>
    </row>
    <row r="25" spans="1:16" ht="12.75" customHeight="1" x14ac:dyDescent="0.25">
      <c r="A25" s="444"/>
      <c r="B25" s="440"/>
      <c r="C25" s="440"/>
      <c r="D25" s="440"/>
      <c r="E25" s="40"/>
      <c r="F25" s="440" t="s">
        <v>530</v>
      </c>
      <c r="G25" s="442">
        <f t="shared" si="2"/>
        <v>19</v>
      </c>
      <c r="H25" s="932">
        <f>'5.b'!E23</f>
        <v>1190554.91295</v>
      </c>
      <c r="I25" s="933">
        <f>'5.b'!F23</f>
        <v>1175563.2205700001</v>
      </c>
      <c r="J25" s="934">
        <f>'5.b'!G23</f>
        <v>5854.933</v>
      </c>
      <c r="K25" s="937">
        <f>'5.b'!H23</f>
        <v>5854.933</v>
      </c>
      <c r="L25" s="934">
        <f>+H25+J25</f>
        <v>1196409.84595</v>
      </c>
      <c r="M25" s="935">
        <f>+I25+K25</f>
        <v>1181418.1535700001</v>
      </c>
      <c r="N25" s="936"/>
    </row>
    <row r="26" spans="1:16" ht="12.75" customHeight="1" x14ac:dyDescent="0.25">
      <c r="A26" s="429"/>
      <c r="B26" s="430"/>
      <c r="C26" s="431"/>
      <c r="D26" s="432" t="s">
        <v>943</v>
      </c>
      <c r="E26" s="430"/>
      <c r="F26" s="433"/>
      <c r="G26" s="434">
        <f t="shared" si="2"/>
        <v>20</v>
      </c>
      <c r="H26" s="604">
        <f t="shared" ref="H26:M26" si="11">+H27+H30</f>
        <v>4933.9260700000004</v>
      </c>
      <c r="I26" s="605">
        <f t="shared" si="11"/>
        <v>6919.7716700000001</v>
      </c>
      <c r="J26" s="606">
        <f t="shared" si="11"/>
        <v>5599</v>
      </c>
      <c r="K26" s="607">
        <f t="shared" si="11"/>
        <v>0</v>
      </c>
      <c r="L26" s="606">
        <f t="shared" si="11"/>
        <v>10532.92607</v>
      </c>
      <c r="M26" s="608">
        <f t="shared" si="11"/>
        <v>6919.7716700000001</v>
      </c>
      <c r="N26" s="42"/>
    </row>
    <row r="27" spans="1:16" ht="12.75" customHeight="1" x14ac:dyDescent="0.25">
      <c r="A27" s="435"/>
      <c r="B27" s="436"/>
      <c r="C27" s="436"/>
      <c r="D27" s="436" t="s">
        <v>343</v>
      </c>
      <c r="E27" s="436" t="s">
        <v>944</v>
      </c>
      <c r="F27" s="437"/>
      <c r="G27" s="438">
        <f t="shared" si="2"/>
        <v>21</v>
      </c>
      <c r="H27" s="609">
        <f t="shared" ref="H27:M27" si="12">+H28+H29</f>
        <v>1384.12607</v>
      </c>
      <c r="I27" s="610">
        <f t="shared" si="12"/>
        <v>3422.3604</v>
      </c>
      <c r="J27" s="611">
        <f t="shared" si="12"/>
        <v>0</v>
      </c>
      <c r="K27" s="612">
        <f t="shared" si="12"/>
        <v>0</v>
      </c>
      <c r="L27" s="611">
        <f t="shared" si="12"/>
        <v>1384.12607</v>
      </c>
      <c r="M27" s="613">
        <f t="shared" si="12"/>
        <v>3422.3604</v>
      </c>
      <c r="N27" s="42"/>
    </row>
    <row r="28" spans="1:16" ht="12.75" customHeight="1" x14ac:dyDescent="0.25">
      <c r="A28" s="439"/>
      <c r="B28" s="440"/>
      <c r="C28" s="440"/>
      <c r="D28" s="440"/>
      <c r="E28" s="440" t="s">
        <v>527</v>
      </c>
      <c r="F28" s="440" t="s">
        <v>529</v>
      </c>
      <c r="G28" s="442">
        <f t="shared" si="2"/>
        <v>22</v>
      </c>
      <c r="H28" s="938">
        <f>'5.d'!H59</f>
        <v>1384.12607</v>
      </c>
      <c r="I28" s="939">
        <f>'5.d'!I59</f>
        <v>3422.3604</v>
      </c>
      <c r="J28" s="938">
        <f>'5.d'!J59</f>
        <v>0</v>
      </c>
      <c r="K28" s="939">
        <f>'5.d'!K59</f>
        <v>0</v>
      </c>
      <c r="L28" s="934">
        <f>'5.d'!L59</f>
        <v>1384.12607</v>
      </c>
      <c r="M28" s="935">
        <f>'5.d'!M59</f>
        <v>3422.3604</v>
      </c>
      <c r="N28" s="936"/>
    </row>
    <row r="29" spans="1:16" ht="12.75" customHeight="1" x14ac:dyDescent="0.25">
      <c r="A29" s="439"/>
      <c r="B29" s="440"/>
      <c r="C29" s="440"/>
      <c r="D29" s="440"/>
      <c r="E29" s="40"/>
      <c r="F29" s="440" t="s">
        <v>530</v>
      </c>
      <c r="G29" s="442">
        <f t="shared" si="2"/>
        <v>23</v>
      </c>
      <c r="H29" s="938">
        <f>'5.d'!H65</f>
        <v>0</v>
      </c>
      <c r="I29" s="939">
        <f>'5.d'!I65</f>
        <v>0</v>
      </c>
      <c r="J29" s="940">
        <f>'5.d'!J65</f>
        <v>0</v>
      </c>
      <c r="K29" s="941">
        <f>'5.d'!K65</f>
        <v>0</v>
      </c>
      <c r="L29" s="934">
        <f>'5.d'!L65</f>
        <v>0</v>
      </c>
      <c r="M29" s="935">
        <f>'5.d'!M65</f>
        <v>0</v>
      </c>
      <c r="N29" s="936"/>
    </row>
    <row r="30" spans="1:16" ht="13.5" customHeight="1" x14ac:dyDescent="0.25">
      <c r="A30" s="435"/>
      <c r="B30" s="436"/>
      <c r="C30" s="436"/>
      <c r="D30" s="436"/>
      <c r="E30" s="436" t="s">
        <v>945</v>
      </c>
      <c r="F30" s="437"/>
      <c r="G30" s="438">
        <f t="shared" si="2"/>
        <v>24</v>
      </c>
      <c r="H30" s="609">
        <f t="shared" ref="H30:M30" si="13">+H31+H32</f>
        <v>3549.8</v>
      </c>
      <c r="I30" s="610">
        <f t="shared" si="13"/>
        <v>3497.4112699999996</v>
      </c>
      <c r="J30" s="611">
        <f t="shared" si="13"/>
        <v>5599</v>
      </c>
      <c r="K30" s="612">
        <f>+K31+K32</f>
        <v>0</v>
      </c>
      <c r="L30" s="611">
        <f>+L31+L32</f>
        <v>9148.7999999999993</v>
      </c>
      <c r="M30" s="613">
        <f t="shared" si="13"/>
        <v>3497.4112699999996</v>
      </c>
      <c r="N30" s="936"/>
    </row>
    <row r="31" spans="1:16" ht="13.5" customHeight="1" x14ac:dyDescent="0.25">
      <c r="A31" s="441"/>
      <c r="B31" s="440"/>
      <c r="C31" s="440"/>
      <c r="D31" s="440"/>
      <c r="E31" s="440" t="s">
        <v>527</v>
      </c>
      <c r="F31" s="440" t="s">
        <v>529</v>
      </c>
      <c r="G31" s="442">
        <f t="shared" si="2"/>
        <v>25</v>
      </c>
      <c r="H31" s="932">
        <f>'5.a'!E37</f>
        <v>1964.8</v>
      </c>
      <c r="I31" s="933">
        <f>'5.a'!F37</f>
        <v>1964.8</v>
      </c>
      <c r="J31" s="934">
        <f>'5.a'!G37</f>
        <v>0</v>
      </c>
      <c r="K31" s="937">
        <f>'5.a'!H37</f>
        <v>0</v>
      </c>
      <c r="L31" s="934">
        <f>+H31+J31</f>
        <v>1964.8</v>
      </c>
      <c r="M31" s="935">
        <f>+I31+K31</f>
        <v>1964.8</v>
      </c>
      <c r="N31" s="936"/>
    </row>
    <row r="32" spans="1:16" ht="13.5" customHeight="1" x14ac:dyDescent="0.25">
      <c r="A32" s="444"/>
      <c r="B32" s="440"/>
      <c r="C32" s="440"/>
      <c r="D32" s="440"/>
      <c r="E32" s="40"/>
      <c r="F32" s="440" t="s">
        <v>530</v>
      </c>
      <c r="G32" s="442">
        <f t="shared" si="2"/>
        <v>26</v>
      </c>
      <c r="H32" s="932">
        <f>'5.b'!E39</f>
        <v>1585</v>
      </c>
      <c r="I32" s="933">
        <f>'5.b'!F39</f>
        <v>1532.6112699999999</v>
      </c>
      <c r="J32" s="934">
        <f>'5.b'!G39</f>
        <v>5599</v>
      </c>
      <c r="K32" s="937">
        <f>'5.b'!H39</f>
        <v>0</v>
      </c>
      <c r="L32" s="934">
        <f>+H32+J32</f>
        <v>7184</v>
      </c>
      <c r="M32" s="935">
        <f>+I32+K32</f>
        <v>1532.6112699999999</v>
      </c>
      <c r="N32" s="936"/>
    </row>
    <row r="33" spans="1:16" ht="12.75" customHeight="1" x14ac:dyDescent="0.25">
      <c r="A33" s="427"/>
      <c r="B33" s="1361" t="s">
        <v>946</v>
      </c>
      <c r="C33" s="1361"/>
      <c r="D33" s="1361" t="s">
        <v>468</v>
      </c>
      <c r="E33" s="1361" t="s">
        <v>528</v>
      </c>
      <c r="F33" s="1362"/>
      <c r="G33" s="428">
        <f>G32+1</f>
        <v>27</v>
      </c>
      <c r="H33" s="598">
        <f t="shared" ref="H33:M33" si="14">+H34+H35</f>
        <v>269177.72943000001</v>
      </c>
      <c r="I33" s="599">
        <f t="shared" si="14"/>
        <v>268906.14419000002</v>
      </c>
      <c r="J33" s="600">
        <f t="shared" si="14"/>
        <v>1543.8544299999999</v>
      </c>
      <c r="K33" s="601">
        <f t="shared" si="14"/>
        <v>1543.8544299999999</v>
      </c>
      <c r="L33" s="600">
        <f t="shared" si="14"/>
        <v>270721.58386000001</v>
      </c>
      <c r="M33" s="602">
        <f t="shared" si="14"/>
        <v>270449.99862000003</v>
      </c>
      <c r="N33" s="42"/>
      <c r="P33" s="6">
        <f>L33*100/L7</f>
        <v>1.8364152767407689</v>
      </c>
    </row>
    <row r="34" spans="1:16" ht="12.75" customHeight="1" x14ac:dyDescent="0.25">
      <c r="A34" s="441"/>
      <c r="B34" s="445"/>
      <c r="C34" s="445"/>
      <c r="D34" s="445"/>
      <c r="E34" s="942" t="s">
        <v>529</v>
      </c>
      <c r="F34" s="943"/>
      <c r="G34" s="442">
        <f>G33+1</f>
        <v>28</v>
      </c>
      <c r="H34" s="932">
        <f>'5.a'!E40</f>
        <v>16910.99829</v>
      </c>
      <c r="I34" s="933">
        <f>'5.a'!F40</f>
        <v>12994.929550000001</v>
      </c>
      <c r="J34" s="934">
        <f>'5.a'!G40</f>
        <v>0</v>
      </c>
      <c r="K34" s="937">
        <f>'5.a'!H40</f>
        <v>0</v>
      </c>
      <c r="L34" s="934">
        <f>+H34+J34</f>
        <v>16910.99829</v>
      </c>
      <c r="M34" s="935">
        <f>+I34+K34</f>
        <v>12994.929550000001</v>
      </c>
      <c r="N34" s="936"/>
    </row>
    <row r="35" spans="1:16" ht="12.75" customHeight="1" thickBot="1" x14ac:dyDescent="0.3">
      <c r="A35" s="446"/>
      <c r="B35" s="447"/>
      <c r="C35" s="447"/>
      <c r="D35" s="447"/>
      <c r="E35" s="944" t="s">
        <v>530</v>
      </c>
      <c r="F35" s="945"/>
      <c r="G35" s="448">
        <f t="shared" si="2"/>
        <v>29</v>
      </c>
      <c r="H35" s="946">
        <f>'5.b'!E42</f>
        <v>252266.73113999999</v>
      </c>
      <c r="I35" s="947">
        <f>'5.b'!F42</f>
        <v>255911.21464000002</v>
      </c>
      <c r="J35" s="948">
        <f>'5.b'!G42</f>
        <v>1543.8544299999999</v>
      </c>
      <c r="K35" s="949">
        <f>'5.b'!H42</f>
        <v>1543.8544299999999</v>
      </c>
      <c r="L35" s="948">
        <f>+H35+J35</f>
        <v>253810.58557</v>
      </c>
      <c r="M35" s="950">
        <f>+I35+K35</f>
        <v>257455.06907000003</v>
      </c>
      <c r="N35" s="936"/>
    </row>
    <row r="36" spans="1:16" ht="12.75" customHeight="1" thickBot="1" x14ac:dyDescent="0.3">
      <c r="A36" s="449"/>
      <c r="B36" s="449"/>
      <c r="C36" s="449"/>
      <c r="D36" s="449"/>
      <c r="E36" s="449"/>
      <c r="F36" s="449"/>
      <c r="G36" s="449"/>
      <c r="H36" s="450"/>
      <c r="I36" s="450"/>
      <c r="J36" s="450"/>
      <c r="K36" s="450"/>
      <c r="L36" s="450"/>
      <c r="M36" s="450"/>
      <c r="N36" s="449"/>
    </row>
    <row r="37" spans="1:16" ht="12.75" customHeight="1" x14ac:dyDescent="0.25">
      <c r="A37" s="1357" t="s">
        <v>947</v>
      </c>
      <c r="B37" s="1358"/>
      <c r="C37" s="1358"/>
      <c r="D37" s="1358"/>
      <c r="E37" s="1358"/>
      <c r="F37" s="1359"/>
      <c r="G37" s="426">
        <f>G35+1</f>
        <v>30</v>
      </c>
      <c r="H37" s="593">
        <f t="shared" ref="H37:M37" si="15">+H38+H43</f>
        <v>11691473.1599</v>
      </c>
      <c r="I37" s="594">
        <f t="shared" si="15"/>
        <v>11093341.534298003</v>
      </c>
      <c r="J37" s="595">
        <f t="shared" si="15"/>
        <v>3050376.7522000005</v>
      </c>
      <c r="K37" s="596">
        <f t="shared" si="15"/>
        <v>3132895.1921400004</v>
      </c>
      <c r="L37" s="595">
        <f t="shared" si="15"/>
        <v>14741849.9121</v>
      </c>
      <c r="M37" s="597">
        <f t="shared" si="15"/>
        <v>14226236.726438001</v>
      </c>
      <c r="N37" s="42"/>
    </row>
    <row r="38" spans="1:16" ht="12.75" customHeight="1" x14ac:dyDescent="0.25">
      <c r="A38" s="435"/>
      <c r="B38" s="436"/>
      <c r="C38" s="451" t="s">
        <v>527</v>
      </c>
      <c r="D38" s="436" t="s">
        <v>948</v>
      </c>
      <c r="E38" s="436"/>
      <c r="F38" s="437"/>
      <c r="G38" s="438">
        <f t="shared" ref="G38:G56" si="16">G37+1</f>
        <v>31</v>
      </c>
      <c r="H38" s="609">
        <f t="shared" ref="H38:M38" si="17">+H39+H40+H41+H42</f>
        <v>6264120.5918399999</v>
      </c>
      <c r="I38" s="610">
        <f t="shared" si="17"/>
        <v>6216611.8016700018</v>
      </c>
      <c r="J38" s="611">
        <f t="shared" si="17"/>
        <v>2568000.3310100003</v>
      </c>
      <c r="K38" s="612">
        <f t="shared" si="17"/>
        <v>2746901.0482800002</v>
      </c>
      <c r="L38" s="611">
        <f t="shared" si="17"/>
        <v>8832120.9228499997</v>
      </c>
      <c r="M38" s="613">
        <f t="shared" si="17"/>
        <v>8963512.8499499988</v>
      </c>
      <c r="N38" s="17"/>
    </row>
    <row r="39" spans="1:16" ht="12.75" customHeight="1" x14ac:dyDescent="0.25">
      <c r="A39" s="452"/>
      <c r="B39" s="445"/>
      <c r="C39" s="445"/>
      <c r="D39" s="453" t="s">
        <v>527</v>
      </c>
      <c r="E39" s="454" t="s">
        <v>949</v>
      </c>
      <c r="F39" s="455"/>
      <c r="G39" s="931">
        <f t="shared" si="16"/>
        <v>32</v>
      </c>
      <c r="H39" s="932">
        <f t="shared" ref="H39:M39" si="18">+H11+H14</f>
        <v>6047863.1560700005</v>
      </c>
      <c r="I39" s="933">
        <f t="shared" si="18"/>
        <v>6004434.6754100006</v>
      </c>
      <c r="J39" s="934">
        <f t="shared" si="18"/>
        <v>2556334.6154100001</v>
      </c>
      <c r="K39" s="937">
        <f t="shared" si="18"/>
        <v>2740193.33268</v>
      </c>
      <c r="L39" s="934">
        <f t="shared" si="18"/>
        <v>8604197.7714799996</v>
      </c>
      <c r="M39" s="935">
        <f t="shared" si="18"/>
        <v>8744628.0080900006</v>
      </c>
      <c r="N39" s="17"/>
    </row>
    <row r="40" spans="1:16" ht="12.75" customHeight="1" x14ac:dyDescent="0.25">
      <c r="A40" s="452"/>
      <c r="B40" s="445"/>
      <c r="C40" s="445"/>
      <c r="D40" s="445"/>
      <c r="E40" s="454" t="s">
        <v>950</v>
      </c>
      <c r="F40" s="455"/>
      <c r="G40" s="931">
        <f t="shared" si="16"/>
        <v>33</v>
      </c>
      <c r="H40" s="932">
        <f t="shared" ref="H40:M40" si="19">+H21+H24</f>
        <v>195997.51141000004</v>
      </c>
      <c r="I40" s="933">
        <f t="shared" si="19"/>
        <v>193795.03631</v>
      </c>
      <c r="J40" s="934">
        <f t="shared" si="19"/>
        <v>11665.7156</v>
      </c>
      <c r="K40" s="937">
        <f t="shared" si="19"/>
        <v>6707.7156000000004</v>
      </c>
      <c r="L40" s="934">
        <f t="shared" si="19"/>
        <v>207663.22701000003</v>
      </c>
      <c r="M40" s="935">
        <f t="shared" si="19"/>
        <v>200502.75191000002</v>
      </c>
      <c r="N40" s="17"/>
    </row>
    <row r="41" spans="1:16" ht="12.75" customHeight="1" x14ac:dyDescent="0.25">
      <c r="A41" s="452"/>
      <c r="B41" s="445"/>
      <c r="C41" s="445"/>
      <c r="D41" s="445"/>
      <c r="E41" s="454" t="s">
        <v>951</v>
      </c>
      <c r="F41" s="455"/>
      <c r="G41" s="931">
        <f t="shared" si="16"/>
        <v>34</v>
      </c>
      <c r="H41" s="932">
        <f t="shared" ref="H41:M41" si="20">+H28+H31</f>
        <v>3348.92607</v>
      </c>
      <c r="I41" s="933">
        <f t="shared" si="20"/>
        <v>5387.1603999999998</v>
      </c>
      <c r="J41" s="934">
        <f t="shared" si="20"/>
        <v>0</v>
      </c>
      <c r="K41" s="937">
        <f t="shared" si="20"/>
        <v>0</v>
      </c>
      <c r="L41" s="934">
        <f t="shared" si="20"/>
        <v>3348.92607</v>
      </c>
      <c r="M41" s="935">
        <f t="shared" si="20"/>
        <v>5387.1603999999998</v>
      </c>
      <c r="N41" s="951"/>
    </row>
    <row r="42" spans="1:16" ht="12.75" customHeight="1" x14ac:dyDescent="0.25">
      <c r="A42" s="452"/>
      <c r="B42" s="445"/>
      <c r="C42" s="445"/>
      <c r="D42" s="453"/>
      <c r="E42" s="440" t="s">
        <v>952</v>
      </c>
      <c r="F42" s="455"/>
      <c r="G42" s="931">
        <f t="shared" si="16"/>
        <v>35</v>
      </c>
      <c r="H42" s="932">
        <f t="shared" ref="H42:M42" si="21">+H34</f>
        <v>16910.99829</v>
      </c>
      <c r="I42" s="933">
        <f t="shared" si="21"/>
        <v>12994.929550000001</v>
      </c>
      <c r="J42" s="934">
        <f t="shared" si="21"/>
        <v>0</v>
      </c>
      <c r="K42" s="937">
        <f t="shared" si="21"/>
        <v>0</v>
      </c>
      <c r="L42" s="934">
        <f t="shared" si="21"/>
        <v>16910.99829</v>
      </c>
      <c r="M42" s="935">
        <f t="shared" si="21"/>
        <v>12994.929550000001</v>
      </c>
      <c r="N42" s="951"/>
    </row>
    <row r="43" spans="1:16" ht="12.75" customHeight="1" x14ac:dyDescent="0.25">
      <c r="A43" s="435"/>
      <c r="B43" s="436"/>
      <c r="C43" s="456"/>
      <c r="D43" s="436" t="s">
        <v>953</v>
      </c>
      <c r="E43" s="436"/>
      <c r="F43" s="437"/>
      <c r="G43" s="438">
        <f t="shared" si="16"/>
        <v>36</v>
      </c>
      <c r="H43" s="609">
        <f t="shared" ref="H43:M43" si="22">+H44+H45+H46+H47</f>
        <v>5427352.5680600004</v>
      </c>
      <c r="I43" s="610">
        <f t="shared" si="22"/>
        <v>4876729.7326280009</v>
      </c>
      <c r="J43" s="611">
        <f t="shared" si="22"/>
        <v>482376.42119000002</v>
      </c>
      <c r="K43" s="612">
        <f t="shared" si="22"/>
        <v>385994.14386000007</v>
      </c>
      <c r="L43" s="611">
        <f t="shared" si="22"/>
        <v>5909728.9892500006</v>
      </c>
      <c r="M43" s="613">
        <f t="shared" si="22"/>
        <v>5262723.8764880011</v>
      </c>
      <c r="N43" s="951"/>
    </row>
    <row r="44" spans="1:16" ht="12.75" customHeight="1" x14ac:dyDescent="0.25">
      <c r="A44" s="457"/>
      <c r="B44" s="440"/>
      <c r="C44" s="454"/>
      <c r="D44" s="453" t="s">
        <v>527</v>
      </c>
      <c r="E44" s="454" t="s">
        <v>954</v>
      </c>
      <c r="F44" s="458"/>
      <c r="G44" s="931">
        <f t="shared" si="16"/>
        <v>37</v>
      </c>
      <c r="H44" s="932">
        <f t="shared" ref="H44:M44" si="23">+H12+H18</f>
        <v>3636952.25997</v>
      </c>
      <c r="I44" s="933">
        <f t="shared" si="23"/>
        <v>3432577.8784980001</v>
      </c>
      <c r="J44" s="934">
        <f t="shared" si="23"/>
        <v>469378.63376</v>
      </c>
      <c r="K44" s="937">
        <f t="shared" si="23"/>
        <v>378595.35643000004</v>
      </c>
      <c r="L44" s="934">
        <f t="shared" si="23"/>
        <v>4106330.8937300006</v>
      </c>
      <c r="M44" s="935">
        <f t="shared" si="23"/>
        <v>3811173.2349280007</v>
      </c>
      <c r="N44" s="17"/>
    </row>
    <row r="45" spans="1:16" ht="12.75" customHeight="1" x14ac:dyDescent="0.25">
      <c r="A45" s="457"/>
      <c r="B45" s="440"/>
      <c r="C45" s="454"/>
      <c r="D45" s="445"/>
      <c r="E45" s="454" t="s">
        <v>955</v>
      </c>
      <c r="F45" s="458"/>
      <c r="G45" s="931">
        <f t="shared" si="16"/>
        <v>38</v>
      </c>
      <c r="H45" s="932">
        <f t="shared" ref="H45:M45" si="24">+H22+H25</f>
        <v>1536548.5769500001</v>
      </c>
      <c r="I45" s="933">
        <f t="shared" si="24"/>
        <v>1186708.0282200002</v>
      </c>
      <c r="J45" s="934">
        <f t="shared" si="24"/>
        <v>5854.933</v>
      </c>
      <c r="K45" s="937">
        <f t="shared" si="24"/>
        <v>5854.933</v>
      </c>
      <c r="L45" s="934">
        <f t="shared" si="24"/>
        <v>1542403.5099499999</v>
      </c>
      <c r="M45" s="935">
        <f t="shared" si="24"/>
        <v>1192562.9612200002</v>
      </c>
      <c r="N45" s="951"/>
    </row>
    <row r="46" spans="1:16" ht="12.75" customHeight="1" x14ac:dyDescent="0.25">
      <c r="A46" s="452"/>
      <c r="B46" s="445"/>
      <c r="C46" s="445"/>
      <c r="D46" s="445"/>
      <c r="E46" s="454" t="s">
        <v>956</v>
      </c>
      <c r="F46" s="455"/>
      <c r="G46" s="931">
        <f t="shared" si="16"/>
        <v>39</v>
      </c>
      <c r="H46" s="932">
        <f t="shared" ref="H46:M46" si="25">+H29+H32</f>
        <v>1585</v>
      </c>
      <c r="I46" s="933">
        <f t="shared" si="25"/>
        <v>1532.6112699999999</v>
      </c>
      <c r="J46" s="934">
        <f t="shared" si="25"/>
        <v>5599</v>
      </c>
      <c r="K46" s="937">
        <f t="shared" si="25"/>
        <v>0</v>
      </c>
      <c r="L46" s="934">
        <f t="shared" si="25"/>
        <v>7184</v>
      </c>
      <c r="M46" s="935">
        <f t="shared" si="25"/>
        <v>1532.6112699999999</v>
      </c>
      <c r="N46" s="951"/>
    </row>
    <row r="47" spans="1:16" ht="12.75" customHeight="1" x14ac:dyDescent="0.25">
      <c r="A47" s="452"/>
      <c r="B47" s="445"/>
      <c r="C47" s="445"/>
      <c r="D47" s="453"/>
      <c r="E47" s="440" t="s">
        <v>957</v>
      </c>
      <c r="F47" s="455"/>
      <c r="G47" s="931">
        <f t="shared" si="16"/>
        <v>40</v>
      </c>
      <c r="H47" s="932">
        <f t="shared" ref="H47:M47" si="26">+H35</f>
        <v>252266.73113999999</v>
      </c>
      <c r="I47" s="933">
        <f t="shared" si="26"/>
        <v>255911.21464000002</v>
      </c>
      <c r="J47" s="934">
        <f t="shared" si="26"/>
        <v>1543.8544299999999</v>
      </c>
      <c r="K47" s="937">
        <f t="shared" si="26"/>
        <v>1543.8544299999999</v>
      </c>
      <c r="L47" s="934">
        <f t="shared" si="26"/>
        <v>253810.58557</v>
      </c>
      <c r="M47" s="935">
        <f t="shared" si="26"/>
        <v>257455.06907000003</v>
      </c>
      <c r="N47" s="951"/>
    </row>
    <row r="48" spans="1:16" ht="12.75" customHeight="1" x14ac:dyDescent="0.25">
      <c r="A48" s="1363" t="s">
        <v>958</v>
      </c>
      <c r="B48" s="1364"/>
      <c r="C48" s="1364"/>
      <c r="D48" s="1364"/>
      <c r="E48" s="1364"/>
      <c r="F48" s="1365"/>
      <c r="G48" s="459">
        <f t="shared" si="16"/>
        <v>41</v>
      </c>
      <c r="H48" s="614">
        <f t="shared" ref="H48:M48" si="27">+H49+H53</f>
        <v>11691473.1599</v>
      </c>
      <c r="I48" s="615">
        <f t="shared" si="27"/>
        <v>11093341.534297999</v>
      </c>
      <c r="J48" s="616">
        <f t="shared" si="27"/>
        <v>3050376.7522</v>
      </c>
      <c r="K48" s="617">
        <f t="shared" si="27"/>
        <v>3132895.1921399999</v>
      </c>
      <c r="L48" s="616">
        <f t="shared" si="27"/>
        <v>14741849.912100002</v>
      </c>
      <c r="M48" s="618">
        <f t="shared" si="27"/>
        <v>14226236.726438001</v>
      </c>
      <c r="N48" s="42"/>
    </row>
    <row r="49" spans="1:18" ht="12.75" customHeight="1" x14ac:dyDescent="0.25">
      <c r="A49" s="435"/>
      <c r="B49" s="436"/>
      <c r="C49" s="451" t="s">
        <v>527</v>
      </c>
      <c r="D49" s="436" t="s">
        <v>959</v>
      </c>
      <c r="E49" s="436"/>
      <c r="F49" s="437"/>
      <c r="G49" s="438">
        <f t="shared" si="16"/>
        <v>42</v>
      </c>
      <c r="H49" s="609">
        <f t="shared" ref="H49:M49" si="28">+H50+H51+H52</f>
        <v>6264120.5918399999</v>
      </c>
      <c r="I49" s="610">
        <f t="shared" si="28"/>
        <v>6216611.80167</v>
      </c>
      <c r="J49" s="611">
        <f t="shared" si="28"/>
        <v>2568000.3310099998</v>
      </c>
      <c r="K49" s="612">
        <f t="shared" si="28"/>
        <v>2746901.0482799998</v>
      </c>
      <c r="L49" s="611">
        <f t="shared" si="28"/>
        <v>8832120.9228500016</v>
      </c>
      <c r="M49" s="613">
        <f t="shared" si="28"/>
        <v>8963512.8499500006</v>
      </c>
      <c r="N49" s="17"/>
    </row>
    <row r="50" spans="1:18" ht="12.75" customHeight="1" x14ac:dyDescent="0.25">
      <c r="A50" s="452"/>
      <c r="B50" s="445"/>
      <c r="C50" s="445"/>
      <c r="D50" s="453" t="s">
        <v>527</v>
      </c>
      <c r="E50" s="440" t="s">
        <v>960</v>
      </c>
      <c r="F50" s="455"/>
      <c r="G50" s="931">
        <f t="shared" si="16"/>
        <v>43</v>
      </c>
      <c r="H50" s="932">
        <f t="shared" ref="H50:M50" si="29">+H11+H21+H28</f>
        <v>174963.40036999999</v>
      </c>
      <c r="I50" s="933">
        <f t="shared" si="29"/>
        <v>138893.16681</v>
      </c>
      <c r="J50" s="934">
        <f t="shared" si="29"/>
        <v>1783643.4087699999</v>
      </c>
      <c r="K50" s="937">
        <f t="shared" si="29"/>
        <v>1866067.01067</v>
      </c>
      <c r="L50" s="934">
        <f t="shared" si="29"/>
        <v>1958606.8091399998</v>
      </c>
      <c r="M50" s="935">
        <f t="shared" si="29"/>
        <v>2004960.1774800001</v>
      </c>
      <c r="N50" s="17"/>
    </row>
    <row r="51" spans="1:18" ht="12.75" customHeight="1" x14ac:dyDescent="0.25">
      <c r="A51" s="452"/>
      <c r="B51" s="445"/>
      <c r="C51" s="445"/>
      <c r="D51" s="445"/>
      <c r="E51" s="440" t="s">
        <v>961</v>
      </c>
      <c r="F51" s="455"/>
      <c r="G51" s="931">
        <f t="shared" si="16"/>
        <v>44</v>
      </c>
      <c r="H51" s="932">
        <f t="shared" ref="H51:M51" si="30">+H14+H24+H31</f>
        <v>6072246.1931800004</v>
      </c>
      <c r="I51" s="933">
        <f t="shared" si="30"/>
        <v>6064723.7053100001</v>
      </c>
      <c r="J51" s="934">
        <f t="shared" si="30"/>
        <v>784356.92223999999</v>
      </c>
      <c r="K51" s="937">
        <f t="shared" si="30"/>
        <v>880834.03760999988</v>
      </c>
      <c r="L51" s="934">
        <f t="shared" si="30"/>
        <v>6856603.1154200006</v>
      </c>
      <c r="M51" s="935">
        <f t="shared" si="30"/>
        <v>6945557.7429200001</v>
      </c>
      <c r="N51" s="17"/>
    </row>
    <row r="52" spans="1:18" ht="12.75" customHeight="1" x14ac:dyDescent="0.25">
      <c r="A52" s="452"/>
      <c r="B52" s="445"/>
      <c r="C52" s="445"/>
      <c r="D52" s="453"/>
      <c r="E52" s="440" t="s">
        <v>962</v>
      </c>
      <c r="F52" s="455"/>
      <c r="G52" s="931">
        <f t="shared" si="16"/>
        <v>45</v>
      </c>
      <c r="H52" s="932">
        <f t="shared" ref="H52:M52" si="31">+H34</f>
        <v>16910.99829</v>
      </c>
      <c r="I52" s="933">
        <f t="shared" si="31"/>
        <v>12994.929550000001</v>
      </c>
      <c r="J52" s="934">
        <f t="shared" si="31"/>
        <v>0</v>
      </c>
      <c r="K52" s="937">
        <f t="shared" si="31"/>
        <v>0</v>
      </c>
      <c r="L52" s="934">
        <f t="shared" si="31"/>
        <v>16910.99829</v>
      </c>
      <c r="M52" s="935">
        <f t="shared" si="31"/>
        <v>12994.929550000001</v>
      </c>
      <c r="N52" s="17"/>
      <c r="R52" s="603"/>
    </row>
    <row r="53" spans="1:18" ht="12.75" customHeight="1" x14ac:dyDescent="0.25">
      <c r="A53" s="435"/>
      <c r="B53" s="436"/>
      <c r="C53" s="456"/>
      <c r="D53" s="436" t="s">
        <v>963</v>
      </c>
      <c r="E53" s="436"/>
      <c r="F53" s="437"/>
      <c r="G53" s="438">
        <f t="shared" si="16"/>
        <v>46</v>
      </c>
      <c r="H53" s="609">
        <f t="shared" ref="H53:M53" si="32">+H54+H55+H56</f>
        <v>5427352.5680600004</v>
      </c>
      <c r="I53" s="610">
        <f t="shared" si="32"/>
        <v>4876729.732628</v>
      </c>
      <c r="J53" s="611">
        <f t="shared" si="32"/>
        <v>482376.42118999996</v>
      </c>
      <c r="K53" s="612">
        <f t="shared" si="32"/>
        <v>385994.14386000001</v>
      </c>
      <c r="L53" s="611">
        <f t="shared" si="32"/>
        <v>5909728.9892500006</v>
      </c>
      <c r="M53" s="613">
        <f t="shared" si="32"/>
        <v>5262723.8764880011</v>
      </c>
      <c r="N53" s="951"/>
    </row>
    <row r="54" spans="1:18" ht="12.75" customHeight="1" x14ac:dyDescent="0.25">
      <c r="A54" s="457"/>
      <c r="B54" s="440"/>
      <c r="C54" s="454"/>
      <c r="D54" s="453" t="s">
        <v>527</v>
      </c>
      <c r="E54" s="440" t="s">
        <v>964</v>
      </c>
      <c r="F54" s="458"/>
      <c r="G54" s="442">
        <f t="shared" si="16"/>
        <v>47</v>
      </c>
      <c r="H54" s="932">
        <f t="shared" ref="H54:M54" si="33">+H12+H22+H29</f>
        <v>1189189.98447</v>
      </c>
      <c r="I54" s="933">
        <f t="shared" si="33"/>
        <v>650949.67412799993</v>
      </c>
      <c r="J54" s="934">
        <f t="shared" si="33"/>
        <v>337424.46575999999</v>
      </c>
      <c r="K54" s="937">
        <f t="shared" si="33"/>
        <v>247099.61399000001</v>
      </c>
      <c r="L54" s="934">
        <f t="shared" si="33"/>
        <v>1526614.4502300001</v>
      </c>
      <c r="M54" s="935">
        <f t="shared" si="33"/>
        <v>898049.28811800003</v>
      </c>
      <c r="N54" s="936"/>
    </row>
    <row r="55" spans="1:18" ht="12.75" customHeight="1" x14ac:dyDescent="0.25">
      <c r="A55" s="457"/>
      <c r="B55" s="440"/>
      <c r="C55" s="454"/>
      <c r="D55" s="445"/>
      <c r="E55" s="440" t="s">
        <v>965</v>
      </c>
      <c r="F55" s="458"/>
      <c r="G55" s="442">
        <f t="shared" si="16"/>
        <v>48</v>
      </c>
      <c r="H55" s="932">
        <f t="shared" ref="H55:M55" si="34">+H18+H25+H32</f>
        <v>3985895.8524500001</v>
      </c>
      <c r="I55" s="933">
        <f t="shared" si="34"/>
        <v>3969868.8438600004</v>
      </c>
      <c r="J55" s="934">
        <f t="shared" si="34"/>
        <v>143408.101</v>
      </c>
      <c r="K55" s="937">
        <f t="shared" si="34"/>
        <v>137350.67543999999</v>
      </c>
      <c r="L55" s="934">
        <f t="shared" si="34"/>
        <v>4129303.9534500004</v>
      </c>
      <c r="M55" s="935">
        <f t="shared" si="34"/>
        <v>4107219.5193000007</v>
      </c>
      <c r="N55" s="936"/>
    </row>
    <row r="56" spans="1:18" ht="12.75" customHeight="1" thickBot="1" x14ac:dyDescent="0.3">
      <c r="A56" s="460"/>
      <c r="B56" s="447"/>
      <c r="C56" s="447"/>
      <c r="D56" s="447"/>
      <c r="E56" s="461" t="s">
        <v>966</v>
      </c>
      <c r="F56" s="462"/>
      <c r="G56" s="952">
        <f t="shared" si="16"/>
        <v>49</v>
      </c>
      <c r="H56" s="946">
        <f t="shared" ref="H56:M56" si="35">+H35</f>
        <v>252266.73113999999</v>
      </c>
      <c r="I56" s="947">
        <f t="shared" si="35"/>
        <v>255911.21464000002</v>
      </c>
      <c r="J56" s="948">
        <f t="shared" si="35"/>
        <v>1543.8544299999999</v>
      </c>
      <c r="K56" s="949">
        <f t="shared" si="35"/>
        <v>1543.8544299999999</v>
      </c>
      <c r="L56" s="948">
        <f t="shared" si="35"/>
        <v>253810.58557</v>
      </c>
      <c r="M56" s="950">
        <f t="shared" si="35"/>
        <v>257455.06907000003</v>
      </c>
      <c r="N56" s="951"/>
    </row>
    <row r="57" spans="1:18" x14ac:dyDescent="0.25">
      <c r="A57" s="40"/>
      <c r="B57" s="40"/>
      <c r="C57" s="40"/>
      <c r="D57" s="40"/>
      <c r="E57" s="40"/>
      <c r="F57" s="40"/>
      <c r="G57" s="42"/>
      <c r="H57" s="40"/>
      <c r="I57" s="40"/>
      <c r="J57" s="40"/>
      <c r="K57" s="40"/>
      <c r="L57" s="40"/>
      <c r="M57" s="40"/>
    </row>
    <row r="58" spans="1:18" x14ac:dyDescent="0.25">
      <c r="A58" s="40" t="s">
        <v>467</v>
      </c>
      <c r="B58" s="40"/>
      <c r="C58" s="40"/>
      <c r="D58" s="41"/>
      <c r="E58" s="41"/>
      <c r="F58" s="40"/>
      <c r="G58" s="42"/>
      <c r="H58" s="40"/>
      <c r="I58" s="40"/>
      <c r="J58" s="40"/>
      <c r="K58" s="40"/>
      <c r="L58" s="40"/>
      <c r="M58" s="40"/>
    </row>
    <row r="59" spans="1:18" ht="30.75" customHeight="1" x14ac:dyDescent="0.25">
      <c r="A59" s="1360" t="s">
        <v>581</v>
      </c>
      <c r="B59" s="1360"/>
      <c r="C59" s="1360"/>
      <c r="D59" s="1360"/>
      <c r="E59" s="1360"/>
      <c r="F59" s="1360"/>
      <c r="G59" s="1360"/>
      <c r="H59" s="1360"/>
      <c r="I59" s="1360"/>
      <c r="J59" s="1360"/>
      <c r="K59" s="1360"/>
      <c r="L59" s="1360"/>
      <c r="M59" s="1360"/>
      <c r="N59" s="1360"/>
    </row>
    <row r="60" spans="1:18" ht="42.75" customHeight="1" x14ac:dyDescent="0.25">
      <c r="A60" s="1360" t="s">
        <v>583</v>
      </c>
      <c r="B60" s="1360"/>
      <c r="C60" s="1360"/>
      <c r="D60" s="1360"/>
      <c r="E60" s="1360"/>
      <c r="F60" s="1360"/>
      <c r="G60" s="1360"/>
      <c r="H60" s="1360"/>
      <c r="I60" s="1360"/>
      <c r="J60" s="1360"/>
      <c r="K60" s="1360"/>
      <c r="L60" s="1360"/>
      <c r="M60" s="1360"/>
      <c r="N60" s="1360"/>
    </row>
    <row r="61" spans="1:18" ht="17.25" customHeight="1" x14ac:dyDescent="0.25">
      <c r="A61" s="1360" t="s">
        <v>621</v>
      </c>
      <c r="B61" s="1360"/>
      <c r="C61" s="1360"/>
      <c r="D61" s="1360"/>
      <c r="E61" s="1360"/>
      <c r="F61" s="1360"/>
      <c r="G61" s="1360"/>
      <c r="H61" s="1360"/>
      <c r="I61" s="1360"/>
      <c r="J61" s="1360"/>
      <c r="K61" s="1360"/>
      <c r="L61" s="1360"/>
      <c r="M61" s="1360"/>
      <c r="N61" s="1360"/>
    </row>
    <row r="62" spans="1:18" ht="15.75" customHeight="1" x14ac:dyDescent="0.25">
      <c r="A62" s="52" t="s">
        <v>622</v>
      </c>
      <c r="B62" s="40"/>
      <c r="C62" s="40"/>
      <c r="D62" s="40"/>
      <c r="E62" s="40"/>
      <c r="F62" s="40"/>
      <c r="G62" s="42"/>
      <c r="H62" s="40"/>
      <c r="I62" s="40"/>
      <c r="J62" s="40"/>
      <c r="K62" s="40"/>
      <c r="L62" s="40"/>
      <c r="M62" s="40"/>
    </row>
    <row r="63" spans="1:18" s="5" customFormat="1" x14ac:dyDescent="0.25">
      <c r="A63" s="138"/>
      <c r="B63" s="138"/>
      <c r="C63" s="138"/>
      <c r="D63" s="138"/>
      <c r="E63" s="138"/>
      <c r="F63" s="138"/>
      <c r="G63" s="139"/>
      <c r="H63" s="138"/>
      <c r="I63" s="138"/>
      <c r="J63" s="138"/>
      <c r="K63" s="138"/>
      <c r="L63" s="138"/>
      <c r="M63" s="138"/>
      <c r="N63" s="138"/>
    </row>
    <row r="64" spans="1:18" s="5" customFormat="1" x14ac:dyDescent="0.25">
      <c r="A64" s="138"/>
      <c r="B64" s="138"/>
      <c r="C64" s="138"/>
      <c r="D64" s="138"/>
      <c r="E64" s="138"/>
      <c r="F64" s="138"/>
      <c r="G64" s="139"/>
      <c r="H64" s="138"/>
      <c r="I64" s="138"/>
      <c r="J64" s="138"/>
      <c r="K64" s="138"/>
      <c r="L64" s="138"/>
      <c r="M64" s="138"/>
      <c r="N64" s="138"/>
    </row>
    <row r="65" spans="1:14" s="5" customFormat="1" x14ac:dyDescent="0.25">
      <c r="A65" s="138"/>
      <c r="B65" s="138"/>
      <c r="C65" s="138"/>
      <c r="D65" s="138"/>
      <c r="E65" s="138"/>
      <c r="F65" s="138"/>
      <c r="G65" s="139"/>
      <c r="H65" s="138"/>
      <c r="I65" s="138"/>
      <c r="J65" s="138"/>
      <c r="K65" s="138"/>
      <c r="L65" s="138"/>
      <c r="M65" s="138"/>
      <c r="N65" s="138"/>
    </row>
    <row r="66" spans="1:14" s="5" customFormat="1" x14ac:dyDescent="0.25">
      <c r="G66" s="16"/>
      <c r="N66" s="138"/>
    </row>
    <row r="67" spans="1:14" s="5" customFormat="1" x14ac:dyDescent="0.25">
      <c r="G67" s="16"/>
      <c r="H67" s="1201"/>
      <c r="I67" s="1201"/>
      <c r="J67" s="1201"/>
      <c r="K67" s="1201"/>
      <c r="L67" s="1201"/>
      <c r="M67" s="1201"/>
      <c r="N67" s="138"/>
    </row>
    <row r="68" spans="1:14" s="5" customFormat="1" x14ac:dyDescent="0.25">
      <c r="G68" s="16"/>
      <c r="N68" s="138"/>
    </row>
    <row r="69" spans="1:14" s="5" customFormat="1" x14ac:dyDescent="0.25">
      <c r="G69" s="16"/>
      <c r="N69" s="138"/>
    </row>
    <row r="70" spans="1:14" s="5" customFormat="1" x14ac:dyDescent="0.25">
      <c r="G70" s="16"/>
      <c r="N70" s="138"/>
    </row>
    <row r="71" spans="1:14" s="5" customFormat="1" x14ac:dyDescent="0.25">
      <c r="G71" s="16"/>
      <c r="N71" s="138"/>
    </row>
    <row r="72" spans="1:14" s="5" customFormat="1" x14ac:dyDescent="0.25">
      <c r="G72" s="16"/>
      <c r="N72" s="138"/>
    </row>
  </sheetData>
  <mergeCells count="13">
    <mergeCell ref="A7:F7"/>
    <mergeCell ref="A61:N61"/>
    <mergeCell ref="B8:F8"/>
    <mergeCell ref="B33:F33"/>
    <mergeCell ref="A37:F37"/>
    <mergeCell ref="A48:F48"/>
    <mergeCell ref="A59:N59"/>
    <mergeCell ref="A60:N60"/>
    <mergeCell ref="A4:F6"/>
    <mergeCell ref="G4:G6"/>
    <mergeCell ref="H4:I4"/>
    <mergeCell ref="J4:K4"/>
    <mergeCell ref="L4:M4"/>
  </mergeCells>
  <pageMargins left="0.78740157480314965" right="0.19685039370078741" top="1.1811023622047245" bottom="0.39370078740157483" header="0" footer="0.15748031496062992"/>
  <pageSetup paperSize="9" scale="6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R57"/>
  <sheetViews>
    <sheetView zoomScaleNormal="100" workbookViewId="0">
      <pane xSplit="4" ySplit="6" topLeftCell="E39" activePane="bottomRight" state="frozen"/>
      <selection activeCell="B151" sqref="B151"/>
      <selection pane="topRight" activeCell="B151" sqref="B151"/>
      <selection pane="bottomLeft" activeCell="B151" sqref="B151"/>
      <selection pane="bottomRight" activeCell="B151" sqref="B151"/>
    </sheetView>
  </sheetViews>
  <sheetFormatPr defaultColWidth="10.5703125" defaultRowHeight="15" x14ac:dyDescent="0.25"/>
  <cols>
    <col min="1" max="1" width="4.28515625" style="170" customWidth="1"/>
    <col min="2" max="2" width="5.7109375" style="170" customWidth="1"/>
    <col min="3" max="3" width="6.7109375" style="170" customWidth="1"/>
    <col min="4" max="4" width="49.140625" style="170" customWidth="1"/>
    <col min="5" max="10" width="12.140625" style="170" customWidth="1"/>
    <col min="11" max="13" width="9.7109375" style="170" customWidth="1"/>
    <col min="14" max="14" width="12.28515625" style="170" customWidth="1"/>
    <col min="15" max="15" width="0.7109375" style="170" customWidth="1"/>
    <col min="16" max="17" width="10.7109375" style="170" customWidth="1"/>
    <col min="18" max="250" width="9.140625" style="170" customWidth="1"/>
    <col min="251" max="251" width="59.7109375" style="170" customWidth="1"/>
    <col min="252" max="16384" width="10.5703125" style="170"/>
  </cols>
  <sheetData>
    <row r="1" spans="1:17" ht="23.25" x14ac:dyDescent="0.25">
      <c r="A1" s="463" t="s">
        <v>617</v>
      </c>
      <c r="B1" s="463"/>
    </row>
    <row r="2" spans="1:17" ht="15.75" x14ac:dyDescent="0.25">
      <c r="A2" s="48"/>
      <c r="B2" s="48"/>
      <c r="D2" s="123" t="s">
        <v>586</v>
      </c>
    </row>
    <row r="3" spans="1:17" ht="13.5" customHeight="1" thickBot="1" x14ac:dyDescent="0.3">
      <c r="Q3" s="51" t="s">
        <v>918</v>
      </c>
    </row>
    <row r="4" spans="1:17" ht="39.200000000000003" customHeight="1" x14ac:dyDescent="0.25">
      <c r="A4" s="1367" t="s">
        <v>341</v>
      </c>
      <c r="B4" s="464" t="s">
        <v>341</v>
      </c>
      <c r="C4" s="1370" t="s">
        <v>788</v>
      </c>
      <c r="D4" s="1371"/>
      <c r="E4" s="1376" t="s">
        <v>515</v>
      </c>
      <c r="F4" s="1377"/>
      <c r="G4" s="1377" t="s">
        <v>516</v>
      </c>
      <c r="H4" s="1377"/>
      <c r="I4" s="1377" t="s">
        <v>517</v>
      </c>
      <c r="J4" s="1377"/>
      <c r="K4" s="1378" t="s">
        <v>593</v>
      </c>
      <c r="L4" s="1379"/>
      <c r="M4" s="1380"/>
      <c r="N4" s="1381" t="s">
        <v>1393</v>
      </c>
      <c r="O4" s="123"/>
      <c r="P4" s="1383" t="s">
        <v>591</v>
      </c>
      <c r="Q4" s="1385" t="s">
        <v>518</v>
      </c>
    </row>
    <row r="5" spans="1:17" ht="13.5" customHeight="1" x14ac:dyDescent="0.25">
      <c r="A5" s="1368"/>
      <c r="B5" s="805" t="s">
        <v>967</v>
      </c>
      <c r="C5" s="1372"/>
      <c r="D5" s="1373"/>
      <c r="E5" s="49" t="s">
        <v>548</v>
      </c>
      <c r="F5" s="37" t="s">
        <v>968</v>
      </c>
      <c r="G5" s="46" t="s">
        <v>469</v>
      </c>
      <c r="H5" s="37" t="s">
        <v>474</v>
      </c>
      <c r="I5" s="46" t="s">
        <v>469</v>
      </c>
      <c r="J5" s="37" t="s">
        <v>474</v>
      </c>
      <c r="K5" s="50" t="s">
        <v>535</v>
      </c>
      <c r="L5" s="50" t="s">
        <v>536</v>
      </c>
      <c r="M5" s="50" t="s">
        <v>537</v>
      </c>
      <c r="N5" s="1382"/>
      <c r="O5" s="123"/>
      <c r="P5" s="1384"/>
      <c r="Q5" s="1386"/>
    </row>
    <row r="6" spans="1:17" ht="15" customHeight="1" thickBot="1" x14ac:dyDescent="0.3">
      <c r="A6" s="1369"/>
      <c r="B6" s="465" t="s">
        <v>969</v>
      </c>
      <c r="C6" s="1374"/>
      <c r="D6" s="1375"/>
      <c r="E6" s="619" t="s">
        <v>405</v>
      </c>
      <c r="F6" s="38" t="s">
        <v>406</v>
      </c>
      <c r="G6" s="38" t="s">
        <v>407</v>
      </c>
      <c r="H6" s="38" t="s">
        <v>408</v>
      </c>
      <c r="I6" s="38" t="s">
        <v>471</v>
      </c>
      <c r="J6" s="38" t="s">
        <v>472</v>
      </c>
      <c r="K6" s="38" t="s">
        <v>411</v>
      </c>
      <c r="L6" s="953" t="s">
        <v>412</v>
      </c>
      <c r="M6" s="953" t="s">
        <v>413</v>
      </c>
      <c r="N6" s="807" t="s">
        <v>569</v>
      </c>
      <c r="O6" s="123"/>
      <c r="P6" s="619" t="s">
        <v>442</v>
      </c>
      <c r="Q6" s="807" t="s">
        <v>538</v>
      </c>
    </row>
    <row r="7" spans="1:17" s="124" customFormat="1" ht="16.7" customHeight="1" x14ac:dyDescent="0.25">
      <c r="A7" s="787">
        <f>+A6+1</f>
        <v>1</v>
      </c>
      <c r="B7" s="466"/>
      <c r="C7" s="467" t="s">
        <v>473</v>
      </c>
      <c r="D7" s="620"/>
      <c r="E7" s="954">
        <f t="shared" ref="E7:N7" si="0">+E8+E19</f>
        <v>5819447.7831700006</v>
      </c>
      <c r="F7" s="955">
        <f t="shared" si="0"/>
        <v>5816089.8812900009</v>
      </c>
      <c r="G7" s="955">
        <f t="shared" si="0"/>
        <v>148601.05989999999</v>
      </c>
      <c r="H7" s="955">
        <f t="shared" si="0"/>
        <v>148684.87406999999</v>
      </c>
      <c r="I7" s="955">
        <f t="shared" si="0"/>
        <v>5968048.8430700004</v>
      </c>
      <c r="J7" s="955">
        <f t="shared" si="0"/>
        <v>5964774.7553599998</v>
      </c>
      <c r="K7" s="955">
        <f t="shared" si="0"/>
        <v>91392.845140000005</v>
      </c>
      <c r="L7" s="955">
        <f t="shared" si="0"/>
        <v>1054726.2831999999</v>
      </c>
      <c r="M7" s="955">
        <f t="shared" si="0"/>
        <v>1249.13319</v>
      </c>
      <c r="N7" s="956">
        <f t="shared" si="0"/>
        <v>3274.0877100000034</v>
      </c>
      <c r="O7" s="621"/>
      <c r="P7" s="957">
        <f>+P8+P19</f>
        <v>36400</v>
      </c>
      <c r="Q7" s="956">
        <f>+Q8+Q19</f>
        <v>6001174.7553599998</v>
      </c>
    </row>
    <row r="8" spans="1:17" s="123" customFormat="1" ht="14.25" customHeight="1" x14ac:dyDescent="0.25">
      <c r="A8" s="49">
        <f>+A7+1</f>
        <v>2</v>
      </c>
      <c r="B8" s="468">
        <v>9</v>
      </c>
      <c r="C8" s="1387" t="s">
        <v>574</v>
      </c>
      <c r="D8" s="1388"/>
      <c r="E8" s="823">
        <f>SUM(E9:E18)</f>
        <v>5727382.374280001</v>
      </c>
      <c r="F8" s="811">
        <f t="shared" ref="F8:Q8" si="1">SUM(F9:F18)</f>
        <v>5727382.374280001</v>
      </c>
      <c r="G8" s="811">
        <f t="shared" si="1"/>
        <v>148601.05989999999</v>
      </c>
      <c r="H8" s="811">
        <f t="shared" si="1"/>
        <v>148684.87406999999</v>
      </c>
      <c r="I8" s="811">
        <f t="shared" si="1"/>
        <v>5875983.4341800008</v>
      </c>
      <c r="J8" s="811">
        <f t="shared" si="1"/>
        <v>5876067.24835</v>
      </c>
      <c r="K8" s="811">
        <f t="shared" si="1"/>
        <v>91392.845140000005</v>
      </c>
      <c r="L8" s="811">
        <f t="shared" si="1"/>
        <v>1054606.2831999999</v>
      </c>
      <c r="M8" s="811">
        <f t="shared" si="1"/>
        <v>0</v>
      </c>
      <c r="N8" s="812">
        <f t="shared" si="1"/>
        <v>-83.814170000001468</v>
      </c>
      <c r="O8" s="622">
        <f t="shared" si="1"/>
        <v>0</v>
      </c>
      <c r="P8" s="813">
        <f t="shared" si="1"/>
        <v>36400</v>
      </c>
      <c r="Q8" s="812">
        <f t="shared" si="1"/>
        <v>5912467.24835</v>
      </c>
    </row>
    <row r="9" spans="1:17" ht="12.75" customHeight="1" x14ac:dyDescent="0.25">
      <c r="A9" s="49">
        <f>+A8+1</f>
        <v>3</v>
      </c>
      <c r="B9" s="469"/>
      <c r="C9" s="958" t="s">
        <v>625</v>
      </c>
      <c r="D9" s="959" t="s">
        <v>1091</v>
      </c>
      <c r="E9" s="1186">
        <v>4144337.1980400006</v>
      </c>
      <c r="F9" s="1186">
        <v>4144337.1980400006</v>
      </c>
      <c r="G9" s="822">
        <v>122780.302</v>
      </c>
      <c r="H9" s="822">
        <v>122780.302</v>
      </c>
      <c r="I9" s="640">
        <f t="shared" ref="I9:J39" si="2">+E9+G9</f>
        <v>4267117.5000400003</v>
      </c>
      <c r="J9" s="640">
        <f t="shared" si="2"/>
        <v>4267117.5000400003</v>
      </c>
      <c r="K9" s="125">
        <v>83804.563800000004</v>
      </c>
      <c r="L9" s="125">
        <v>859510.19815000007</v>
      </c>
      <c r="M9" s="125">
        <v>0</v>
      </c>
      <c r="N9" s="662">
        <f t="shared" ref="N9:N39" si="3">+I9-J9</f>
        <v>0</v>
      </c>
      <c r="O9" s="623"/>
      <c r="P9" s="834">
        <v>29400</v>
      </c>
      <c r="Q9" s="662">
        <f t="shared" ref="Q9:Q39" si="4">+J9+P9</f>
        <v>4296517.5000400003</v>
      </c>
    </row>
    <row r="10" spans="1:17" ht="12.75" customHeight="1" x14ac:dyDescent="0.25">
      <c r="A10" s="49">
        <f>A9+1</f>
        <v>4</v>
      </c>
      <c r="B10" s="469"/>
      <c r="C10" s="958" t="s">
        <v>1050</v>
      </c>
      <c r="D10" s="960" t="s">
        <v>1092</v>
      </c>
      <c r="E10" s="1186">
        <v>411492.5500000001</v>
      </c>
      <c r="F10" s="1186">
        <v>411492.5500000001</v>
      </c>
      <c r="G10" s="822">
        <v>6600</v>
      </c>
      <c r="H10" s="822">
        <v>6600</v>
      </c>
      <c r="I10" s="640">
        <f t="shared" si="2"/>
        <v>418092.5500000001</v>
      </c>
      <c r="J10" s="640">
        <f t="shared" si="2"/>
        <v>418092.5500000001</v>
      </c>
      <c r="K10" s="125">
        <v>615.24400000000003</v>
      </c>
      <c r="L10" s="125">
        <v>2458.3007699999998</v>
      </c>
      <c r="M10" s="125">
        <v>0</v>
      </c>
      <c r="N10" s="662">
        <f t="shared" si="3"/>
        <v>0</v>
      </c>
      <c r="O10" s="623"/>
      <c r="P10" s="834">
        <v>0</v>
      </c>
      <c r="Q10" s="662">
        <f t="shared" si="4"/>
        <v>418092.5500000001</v>
      </c>
    </row>
    <row r="11" spans="1:17" ht="12.75" customHeight="1" x14ac:dyDescent="0.25">
      <c r="A11" s="49">
        <f t="shared" ref="A11:A46" si="5">+A10+1</f>
        <v>5</v>
      </c>
      <c r="B11" s="469"/>
      <c r="C11" s="961" t="s">
        <v>539</v>
      </c>
      <c r="D11" s="959" t="s">
        <v>540</v>
      </c>
      <c r="E11" s="1186">
        <v>486874.62599999999</v>
      </c>
      <c r="F11" s="1186">
        <v>486874.62599999999</v>
      </c>
      <c r="G11" s="822">
        <v>0</v>
      </c>
      <c r="H11" s="822">
        <v>0</v>
      </c>
      <c r="I11" s="640">
        <f t="shared" si="2"/>
        <v>486874.62599999999</v>
      </c>
      <c r="J11" s="640">
        <f t="shared" si="2"/>
        <v>486874.62599999999</v>
      </c>
      <c r="K11" s="125">
        <v>494.89</v>
      </c>
      <c r="L11" s="125">
        <v>58432.688349999989</v>
      </c>
      <c r="M11" s="125">
        <v>0</v>
      </c>
      <c r="N11" s="662">
        <f t="shared" si="3"/>
        <v>0</v>
      </c>
      <c r="O11" s="623"/>
      <c r="P11" s="834">
        <v>7000</v>
      </c>
      <c r="Q11" s="662">
        <f t="shared" si="4"/>
        <v>493874.62599999999</v>
      </c>
    </row>
    <row r="12" spans="1:17" ht="13.5" customHeight="1" x14ac:dyDescent="0.25">
      <c r="A12" s="49">
        <f t="shared" si="5"/>
        <v>6</v>
      </c>
      <c r="B12" s="469"/>
      <c r="C12" s="958" t="s">
        <v>1093</v>
      </c>
      <c r="D12" s="960" t="s">
        <v>543</v>
      </c>
      <c r="E12" s="1186">
        <v>3978.6970000000001</v>
      </c>
      <c r="F12" s="1186">
        <v>3978.6970000000001</v>
      </c>
      <c r="G12" s="822">
        <v>0</v>
      </c>
      <c r="H12" s="822">
        <v>0</v>
      </c>
      <c r="I12" s="640">
        <f t="shared" si="2"/>
        <v>3978.6970000000001</v>
      </c>
      <c r="J12" s="640">
        <f t="shared" si="2"/>
        <v>3978.6970000000001</v>
      </c>
      <c r="K12" s="125">
        <v>0</v>
      </c>
      <c r="L12" s="125">
        <v>199.691</v>
      </c>
      <c r="M12" s="125">
        <v>0</v>
      </c>
      <c r="N12" s="662">
        <f t="shared" si="3"/>
        <v>0</v>
      </c>
      <c r="O12" s="623"/>
      <c r="P12" s="834">
        <v>0</v>
      </c>
      <c r="Q12" s="662">
        <f t="shared" si="4"/>
        <v>3978.6970000000001</v>
      </c>
    </row>
    <row r="13" spans="1:17" ht="12.75" customHeight="1" x14ac:dyDescent="0.25">
      <c r="A13" s="49">
        <f t="shared" si="5"/>
        <v>7</v>
      </c>
      <c r="B13" s="469"/>
      <c r="C13" s="958" t="s">
        <v>1094</v>
      </c>
      <c r="D13" s="960" t="s">
        <v>544</v>
      </c>
      <c r="E13" s="1186">
        <v>129011.4</v>
      </c>
      <c r="F13" s="1186">
        <v>129011.4</v>
      </c>
      <c r="G13" s="822">
        <v>0</v>
      </c>
      <c r="H13" s="822">
        <v>0</v>
      </c>
      <c r="I13" s="640">
        <f t="shared" si="2"/>
        <v>129011.4</v>
      </c>
      <c r="J13" s="640">
        <f t="shared" si="2"/>
        <v>129011.4</v>
      </c>
      <c r="K13" s="125">
        <v>0</v>
      </c>
      <c r="L13" s="125">
        <v>0</v>
      </c>
      <c r="M13" s="125">
        <v>0</v>
      </c>
      <c r="N13" s="662">
        <f t="shared" si="3"/>
        <v>0</v>
      </c>
      <c r="O13" s="623"/>
      <c r="P13" s="834">
        <v>0</v>
      </c>
      <c r="Q13" s="662">
        <f t="shared" si="4"/>
        <v>129011.4</v>
      </c>
    </row>
    <row r="14" spans="1:17" ht="12.75" customHeight="1" x14ac:dyDescent="0.25">
      <c r="A14" s="49">
        <f t="shared" si="5"/>
        <v>8</v>
      </c>
      <c r="B14" s="469"/>
      <c r="C14" s="958" t="s">
        <v>545</v>
      </c>
      <c r="D14" s="959" t="s">
        <v>1297</v>
      </c>
      <c r="E14" s="1186">
        <v>230273.601</v>
      </c>
      <c r="F14" s="1186">
        <v>230273.601</v>
      </c>
      <c r="G14" s="822">
        <v>10660.6</v>
      </c>
      <c r="H14" s="822">
        <v>10660.6</v>
      </c>
      <c r="I14" s="640">
        <f>+E14+G14</f>
        <v>240934.201</v>
      </c>
      <c r="J14" s="640">
        <f>+F14+H14</f>
        <v>240934.201</v>
      </c>
      <c r="K14" s="125">
        <v>5944.0598799999998</v>
      </c>
      <c r="L14" s="125">
        <v>53478.15</v>
      </c>
      <c r="M14" s="125">
        <v>0</v>
      </c>
      <c r="N14" s="662">
        <f t="shared" si="3"/>
        <v>0</v>
      </c>
      <c r="O14" s="623"/>
      <c r="P14" s="834">
        <v>0</v>
      </c>
      <c r="Q14" s="662">
        <f t="shared" si="4"/>
        <v>240934.201</v>
      </c>
    </row>
    <row r="15" spans="1:17" ht="12.75" customHeight="1" x14ac:dyDescent="0.25">
      <c r="A15" s="49">
        <f t="shared" si="5"/>
        <v>9</v>
      </c>
      <c r="B15" s="469"/>
      <c r="C15" s="958" t="s">
        <v>541</v>
      </c>
      <c r="D15" s="960" t="s">
        <v>1095</v>
      </c>
      <c r="E15" s="1186">
        <v>9799.8220499999989</v>
      </c>
      <c r="F15" s="1186">
        <v>9799.8220499999989</v>
      </c>
      <c r="G15" s="822">
        <v>0</v>
      </c>
      <c r="H15" s="822">
        <v>0</v>
      </c>
      <c r="I15" s="640">
        <f t="shared" si="2"/>
        <v>9799.8220499999989</v>
      </c>
      <c r="J15" s="640">
        <f t="shared" si="2"/>
        <v>9799.8220499999989</v>
      </c>
      <c r="K15" s="125">
        <v>0</v>
      </c>
      <c r="L15" s="125">
        <v>71.29083</v>
      </c>
      <c r="M15" s="125">
        <v>0</v>
      </c>
      <c r="N15" s="662">
        <f t="shared" si="3"/>
        <v>0</v>
      </c>
      <c r="O15" s="623"/>
      <c r="P15" s="834">
        <v>0</v>
      </c>
      <c r="Q15" s="662">
        <f t="shared" si="4"/>
        <v>9799.8220499999989</v>
      </c>
    </row>
    <row r="16" spans="1:17" ht="12.75" customHeight="1" x14ac:dyDescent="0.25">
      <c r="A16" s="49">
        <f t="shared" si="5"/>
        <v>10</v>
      </c>
      <c r="B16" s="470"/>
      <c r="C16" s="958" t="s">
        <v>542</v>
      </c>
      <c r="D16" s="960" t="s">
        <v>1096</v>
      </c>
      <c r="E16" s="1186">
        <v>309270.71100000001</v>
      </c>
      <c r="F16" s="1186">
        <v>309270.71100000001</v>
      </c>
      <c r="G16" s="822">
        <v>67.903000000000006</v>
      </c>
      <c r="H16" s="822">
        <v>67.903000000000006</v>
      </c>
      <c r="I16" s="640">
        <f t="shared" ref="I16:J18" si="6">+E16+G16</f>
        <v>309338.614</v>
      </c>
      <c r="J16" s="640">
        <f t="shared" si="6"/>
        <v>309338.614</v>
      </c>
      <c r="K16" s="125">
        <v>534.08745999999996</v>
      </c>
      <c r="L16" s="125">
        <v>80455.964099999997</v>
      </c>
      <c r="M16" s="125">
        <v>0</v>
      </c>
      <c r="N16" s="662">
        <f t="shared" si="3"/>
        <v>0</v>
      </c>
      <c r="O16" s="623"/>
      <c r="P16" s="834">
        <v>0</v>
      </c>
      <c r="Q16" s="662">
        <f t="shared" si="4"/>
        <v>309338.614</v>
      </c>
    </row>
    <row r="17" spans="1:17" ht="12.75" customHeight="1" x14ac:dyDescent="0.25">
      <c r="A17" s="49">
        <f>A16+1</f>
        <v>11</v>
      </c>
      <c r="B17" s="470"/>
      <c r="C17" s="962"/>
      <c r="D17" s="1139" t="s">
        <v>1379</v>
      </c>
      <c r="E17" s="1186">
        <v>2343.76919</v>
      </c>
      <c r="F17" s="1186">
        <v>2343.76919</v>
      </c>
      <c r="G17" s="822">
        <v>8492.2548999999999</v>
      </c>
      <c r="H17" s="822">
        <v>8576.0690699999996</v>
      </c>
      <c r="I17" s="640">
        <f t="shared" si="6"/>
        <v>10836.024089999999</v>
      </c>
      <c r="J17" s="640">
        <f t="shared" si="6"/>
        <v>10919.83826</v>
      </c>
      <c r="K17" s="125">
        <v>0</v>
      </c>
      <c r="L17" s="125">
        <v>0</v>
      </c>
      <c r="M17" s="125">
        <v>0</v>
      </c>
      <c r="N17" s="662">
        <f t="shared" si="3"/>
        <v>-83.814170000001468</v>
      </c>
      <c r="O17" s="623"/>
      <c r="P17" s="834">
        <v>0</v>
      </c>
      <c r="Q17" s="662">
        <f t="shared" si="4"/>
        <v>10919.83826</v>
      </c>
    </row>
    <row r="18" spans="1:17" ht="12.75" customHeight="1" x14ac:dyDescent="0.25">
      <c r="A18" s="49">
        <f>A17+1</f>
        <v>12</v>
      </c>
      <c r="B18" s="470"/>
      <c r="C18" s="962" t="s">
        <v>1097</v>
      </c>
      <c r="D18" s="963" t="s">
        <v>1098</v>
      </c>
      <c r="E18" s="822">
        <v>0</v>
      </c>
      <c r="F18" s="822">
        <v>0</v>
      </c>
      <c r="G18" s="822">
        <v>0</v>
      </c>
      <c r="H18" s="822">
        <v>0</v>
      </c>
      <c r="I18" s="640">
        <f t="shared" si="6"/>
        <v>0</v>
      </c>
      <c r="J18" s="640">
        <f t="shared" si="6"/>
        <v>0</v>
      </c>
      <c r="K18" s="125">
        <v>0</v>
      </c>
      <c r="L18" s="125">
        <v>0</v>
      </c>
      <c r="M18" s="125">
        <v>0</v>
      </c>
      <c r="N18" s="662">
        <f t="shared" si="3"/>
        <v>0</v>
      </c>
      <c r="O18" s="623"/>
      <c r="P18" s="834">
        <v>0</v>
      </c>
      <c r="Q18" s="662">
        <f t="shared" si="4"/>
        <v>0</v>
      </c>
    </row>
    <row r="19" spans="1:17" s="123" customFormat="1" ht="12.75" customHeight="1" x14ac:dyDescent="0.25">
      <c r="A19" s="49">
        <f>A18+1</f>
        <v>13</v>
      </c>
      <c r="B19" s="468">
        <v>11</v>
      </c>
      <c r="C19" s="1389" t="s">
        <v>575</v>
      </c>
      <c r="D19" s="1390"/>
      <c r="E19" s="823">
        <f t="shared" ref="E19:N19" si="7">SUM(E20:E25)</f>
        <v>92065.408889999992</v>
      </c>
      <c r="F19" s="811">
        <f t="shared" si="7"/>
        <v>88707.507010000001</v>
      </c>
      <c r="G19" s="811">
        <f t="shared" si="7"/>
        <v>0</v>
      </c>
      <c r="H19" s="811">
        <f t="shared" si="7"/>
        <v>0</v>
      </c>
      <c r="I19" s="811">
        <f t="shared" si="7"/>
        <v>92065.408889999992</v>
      </c>
      <c r="J19" s="811">
        <f t="shared" si="7"/>
        <v>88707.507010000001</v>
      </c>
      <c r="K19" s="811">
        <f t="shared" si="7"/>
        <v>0</v>
      </c>
      <c r="L19" s="811">
        <f t="shared" si="7"/>
        <v>120</v>
      </c>
      <c r="M19" s="811">
        <f t="shared" si="7"/>
        <v>1249.13319</v>
      </c>
      <c r="N19" s="812">
        <f t="shared" si="7"/>
        <v>3357.9018800000049</v>
      </c>
      <c r="O19" s="623"/>
      <c r="P19" s="813">
        <f>SUM(P20:P25)</f>
        <v>0</v>
      </c>
      <c r="Q19" s="812">
        <f>SUM(Q20:Q25)</f>
        <v>88707.507010000001</v>
      </c>
    </row>
    <row r="20" spans="1:17" s="123" customFormat="1" ht="12.75" customHeight="1" x14ac:dyDescent="0.25">
      <c r="A20" s="126">
        <f t="shared" si="5"/>
        <v>14</v>
      </c>
      <c r="B20" s="471"/>
      <c r="C20" s="961" t="s">
        <v>542</v>
      </c>
      <c r="D20" s="1130" t="s">
        <v>1233</v>
      </c>
      <c r="E20" s="1186">
        <v>0</v>
      </c>
      <c r="F20" s="1186">
        <v>0</v>
      </c>
      <c r="G20" s="822">
        <v>0</v>
      </c>
      <c r="H20" s="822">
        <v>0</v>
      </c>
      <c r="I20" s="640">
        <f t="shared" si="2"/>
        <v>0</v>
      </c>
      <c r="J20" s="640">
        <f t="shared" si="2"/>
        <v>0</v>
      </c>
      <c r="K20" s="125">
        <v>0</v>
      </c>
      <c r="L20" s="125">
        <v>0</v>
      </c>
      <c r="M20" s="125">
        <v>0</v>
      </c>
      <c r="N20" s="662">
        <f t="shared" si="3"/>
        <v>0</v>
      </c>
      <c r="O20" s="623"/>
      <c r="P20" s="834">
        <v>0</v>
      </c>
      <c r="Q20" s="662">
        <f t="shared" si="4"/>
        <v>0</v>
      </c>
    </row>
    <row r="21" spans="1:17" ht="12.75" hidden="1" customHeight="1" x14ac:dyDescent="0.25">
      <c r="A21" s="126"/>
      <c r="B21" s="471"/>
      <c r="C21" s="958" t="s">
        <v>545</v>
      </c>
      <c r="D21" s="1130" t="s">
        <v>1157</v>
      </c>
      <c r="E21" s="1186">
        <v>0</v>
      </c>
      <c r="F21" s="1186">
        <v>0</v>
      </c>
      <c r="G21" s="822">
        <v>0</v>
      </c>
      <c r="H21" s="822">
        <v>0</v>
      </c>
      <c r="I21" s="640">
        <f t="shared" si="2"/>
        <v>0</v>
      </c>
      <c r="J21" s="640">
        <f t="shared" si="2"/>
        <v>0</v>
      </c>
      <c r="K21" s="125">
        <v>0</v>
      </c>
      <c r="L21" s="125">
        <v>0</v>
      </c>
      <c r="M21" s="125">
        <v>0</v>
      </c>
      <c r="N21" s="662">
        <f t="shared" si="3"/>
        <v>0</v>
      </c>
      <c r="O21" s="623"/>
      <c r="P21" s="834">
        <v>0</v>
      </c>
      <c r="Q21" s="662">
        <f t="shared" si="4"/>
        <v>0</v>
      </c>
    </row>
    <row r="22" spans="1:17" ht="12.75" customHeight="1" x14ac:dyDescent="0.25">
      <c r="A22" s="126">
        <f>A20+1</f>
        <v>15</v>
      </c>
      <c r="B22" s="471"/>
      <c r="C22" s="958" t="s">
        <v>546</v>
      </c>
      <c r="D22" s="964" t="s">
        <v>547</v>
      </c>
      <c r="E22" s="1186">
        <v>11766</v>
      </c>
      <c r="F22" s="1186">
        <v>10116.08713</v>
      </c>
      <c r="G22" s="822">
        <v>0</v>
      </c>
      <c r="H22" s="822">
        <v>0</v>
      </c>
      <c r="I22" s="640">
        <f t="shared" si="2"/>
        <v>11766</v>
      </c>
      <c r="J22" s="640">
        <f t="shared" si="2"/>
        <v>10116.08713</v>
      </c>
      <c r="K22" s="125">
        <v>0</v>
      </c>
      <c r="L22" s="125">
        <v>0</v>
      </c>
      <c r="M22" s="125">
        <v>0</v>
      </c>
      <c r="N22" s="662">
        <f t="shared" si="3"/>
        <v>1649.9128700000001</v>
      </c>
      <c r="O22" s="623"/>
      <c r="P22" s="834">
        <v>0</v>
      </c>
      <c r="Q22" s="662">
        <f t="shared" si="4"/>
        <v>10116.08713</v>
      </c>
    </row>
    <row r="23" spans="1:17" ht="12.75" customHeight="1" x14ac:dyDescent="0.25">
      <c r="A23" s="126">
        <f t="shared" si="5"/>
        <v>16</v>
      </c>
      <c r="B23" s="472"/>
      <c r="C23" s="961" t="s">
        <v>541</v>
      </c>
      <c r="D23" s="1130" t="s">
        <v>1178</v>
      </c>
      <c r="E23" s="1186">
        <v>35635.970890000004</v>
      </c>
      <c r="F23" s="1186">
        <v>35206.75116</v>
      </c>
      <c r="G23" s="822">
        <v>0</v>
      </c>
      <c r="H23" s="822">
        <v>0</v>
      </c>
      <c r="I23" s="640">
        <f t="shared" ref="I23:I24" si="8">+E23+G23</f>
        <v>35635.970890000004</v>
      </c>
      <c r="J23" s="640">
        <f t="shared" ref="J23:J24" si="9">+F23+H23</f>
        <v>35206.75116</v>
      </c>
      <c r="K23" s="125">
        <v>0</v>
      </c>
      <c r="L23" s="125">
        <v>120</v>
      </c>
      <c r="M23" s="125">
        <v>0</v>
      </c>
      <c r="N23" s="662">
        <f t="shared" si="3"/>
        <v>429.21973000000435</v>
      </c>
      <c r="O23" s="623"/>
      <c r="P23" s="834">
        <v>0</v>
      </c>
      <c r="Q23" s="662">
        <f t="shared" ref="Q23:Q24" si="10">+J23+P23</f>
        <v>35206.75116</v>
      </c>
    </row>
    <row r="24" spans="1:17" ht="12.75" customHeight="1" x14ac:dyDescent="0.25">
      <c r="A24" s="126">
        <f t="shared" si="5"/>
        <v>17</v>
      </c>
      <c r="B24" s="472"/>
      <c r="C24" s="961"/>
      <c r="D24" s="964" t="s">
        <v>1234</v>
      </c>
      <c r="E24" s="1186">
        <v>25000</v>
      </c>
      <c r="F24" s="1186">
        <v>25000</v>
      </c>
      <c r="G24" s="822">
        <v>0</v>
      </c>
      <c r="H24" s="822">
        <v>0</v>
      </c>
      <c r="I24" s="640">
        <f t="shared" si="8"/>
        <v>25000</v>
      </c>
      <c r="J24" s="640">
        <f t="shared" si="9"/>
        <v>25000</v>
      </c>
      <c r="K24" s="125">
        <v>0</v>
      </c>
      <c r="L24" s="125">
        <v>0</v>
      </c>
      <c r="M24" s="125">
        <v>1249.13319</v>
      </c>
      <c r="N24" s="662">
        <f>+I24-J24</f>
        <v>0</v>
      </c>
      <c r="O24" s="623"/>
      <c r="P24" s="834">
        <v>0</v>
      </c>
      <c r="Q24" s="662">
        <f t="shared" si="10"/>
        <v>25000</v>
      </c>
    </row>
    <row r="25" spans="1:17" ht="12.75" customHeight="1" x14ac:dyDescent="0.25">
      <c r="A25" s="126">
        <f>A24+1</f>
        <v>18</v>
      </c>
      <c r="B25" s="472"/>
      <c r="C25" s="962" t="s">
        <v>790</v>
      </c>
      <c r="D25" s="964" t="s">
        <v>791</v>
      </c>
      <c r="E25" s="1186">
        <v>19663.438000000002</v>
      </c>
      <c r="F25" s="1186">
        <v>18384.668720000001</v>
      </c>
      <c r="G25" s="822">
        <v>0</v>
      </c>
      <c r="H25" s="822">
        <v>0</v>
      </c>
      <c r="I25" s="640">
        <f t="shared" si="2"/>
        <v>19663.438000000002</v>
      </c>
      <c r="J25" s="640">
        <f t="shared" si="2"/>
        <v>18384.668720000001</v>
      </c>
      <c r="K25" s="125">
        <v>0</v>
      </c>
      <c r="L25" s="125">
        <v>0</v>
      </c>
      <c r="M25" s="125">
        <v>0</v>
      </c>
      <c r="N25" s="662">
        <f t="shared" si="3"/>
        <v>1278.7692800000004</v>
      </c>
      <c r="O25" s="623"/>
      <c r="P25" s="834">
        <v>0</v>
      </c>
      <c r="Q25" s="662">
        <f t="shared" si="4"/>
        <v>18384.668720000001</v>
      </c>
    </row>
    <row r="26" spans="1:17" s="124" customFormat="1" ht="12.75" customHeight="1" x14ac:dyDescent="0.25">
      <c r="A26" s="399">
        <f t="shared" si="5"/>
        <v>19</v>
      </c>
      <c r="B26" s="473">
        <v>18</v>
      </c>
      <c r="C26" s="1389" t="s">
        <v>555</v>
      </c>
      <c r="D26" s="1390"/>
      <c r="E26" s="823">
        <f t="shared" ref="E26:N26" si="11">SUM(E27:E36)</f>
        <v>186066.29243000003</v>
      </c>
      <c r="F26" s="811">
        <f t="shared" si="11"/>
        <v>185663.26146000001</v>
      </c>
      <c r="G26" s="811">
        <f t="shared" si="11"/>
        <v>0</v>
      </c>
      <c r="H26" s="811">
        <f t="shared" si="11"/>
        <v>0</v>
      </c>
      <c r="I26" s="811">
        <f t="shared" si="11"/>
        <v>186066.29243000003</v>
      </c>
      <c r="J26" s="811">
        <f t="shared" si="11"/>
        <v>185663.26146000001</v>
      </c>
      <c r="K26" s="811">
        <f t="shared" si="11"/>
        <v>0</v>
      </c>
      <c r="L26" s="811">
        <f t="shared" si="11"/>
        <v>0</v>
      </c>
      <c r="M26" s="811">
        <f t="shared" si="11"/>
        <v>2119.7365799999998</v>
      </c>
      <c r="N26" s="812">
        <f t="shared" si="11"/>
        <v>403.03097000000014</v>
      </c>
      <c r="O26" s="623"/>
      <c r="P26" s="813">
        <f>SUM(P27:P36)</f>
        <v>65.32929</v>
      </c>
      <c r="Q26" s="812">
        <f>SUM(Q27:Q36)</f>
        <v>185728.59075</v>
      </c>
    </row>
    <row r="27" spans="1:17" s="124" customFormat="1" ht="12.75" customHeight="1" x14ac:dyDescent="0.25">
      <c r="A27" s="49">
        <f t="shared" si="5"/>
        <v>20</v>
      </c>
      <c r="B27" s="469"/>
      <c r="C27" s="826" t="s">
        <v>792</v>
      </c>
      <c r="D27" s="825"/>
      <c r="E27" s="1186">
        <v>49523</v>
      </c>
      <c r="F27" s="1186">
        <v>49425</v>
      </c>
      <c r="G27" s="822">
        <v>0</v>
      </c>
      <c r="H27" s="822">
        <v>0</v>
      </c>
      <c r="I27" s="640">
        <f t="shared" si="2"/>
        <v>49523</v>
      </c>
      <c r="J27" s="640">
        <f t="shared" si="2"/>
        <v>49425</v>
      </c>
      <c r="K27" s="125">
        <v>0</v>
      </c>
      <c r="L27" s="125">
        <v>0</v>
      </c>
      <c r="M27" s="125">
        <v>169.58242000000001</v>
      </c>
      <c r="N27" s="662">
        <f t="shared" si="3"/>
        <v>98</v>
      </c>
      <c r="O27" s="623"/>
      <c r="P27" s="834">
        <v>0</v>
      </c>
      <c r="Q27" s="662">
        <f t="shared" si="4"/>
        <v>49425</v>
      </c>
    </row>
    <row r="28" spans="1:17" s="124" customFormat="1" ht="12.75" customHeight="1" x14ac:dyDescent="0.25">
      <c r="A28" s="49">
        <f t="shared" si="5"/>
        <v>21</v>
      </c>
      <c r="B28" s="469"/>
      <c r="C28" s="826" t="s">
        <v>793</v>
      </c>
      <c r="D28" s="825"/>
      <c r="E28" s="1186">
        <v>1164</v>
      </c>
      <c r="F28" s="1186">
        <v>1152.0999999999999</v>
      </c>
      <c r="G28" s="822">
        <v>0</v>
      </c>
      <c r="H28" s="822">
        <v>0</v>
      </c>
      <c r="I28" s="640">
        <f t="shared" si="2"/>
        <v>1164</v>
      </c>
      <c r="J28" s="640">
        <f t="shared" si="2"/>
        <v>1152.0999999999999</v>
      </c>
      <c r="K28" s="125">
        <v>0</v>
      </c>
      <c r="L28" s="125">
        <v>0</v>
      </c>
      <c r="M28" s="125">
        <v>0</v>
      </c>
      <c r="N28" s="662">
        <f t="shared" si="3"/>
        <v>11.900000000000091</v>
      </c>
      <c r="O28" s="623"/>
      <c r="P28" s="834">
        <v>54.9</v>
      </c>
      <c r="Q28" s="662">
        <f t="shared" si="4"/>
        <v>1207</v>
      </c>
    </row>
    <row r="29" spans="1:17" s="124" customFormat="1" ht="12.75" customHeight="1" x14ac:dyDescent="0.25">
      <c r="A29" s="49">
        <f t="shared" si="5"/>
        <v>22</v>
      </c>
      <c r="B29" s="469"/>
      <c r="C29" s="826" t="s">
        <v>794</v>
      </c>
      <c r="D29" s="825"/>
      <c r="E29" s="1186">
        <v>446</v>
      </c>
      <c r="F29" s="1186">
        <v>446</v>
      </c>
      <c r="G29" s="822">
        <v>0</v>
      </c>
      <c r="H29" s="822">
        <v>0</v>
      </c>
      <c r="I29" s="640">
        <f t="shared" si="2"/>
        <v>446</v>
      </c>
      <c r="J29" s="640">
        <f t="shared" si="2"/>
        <v>446</v>
      </c>
      <c r="K29" s="125">
        <v>0</v>
      </c>
      <c r="L29" s="125">
        <v>0</v>
      </c>
      <c r="M29" s="125">
        <v>0</v>
      </c>
      <c r="N29" s="662">
        <f t="shared" si="3"/>
        <v>0</v>
      </c>
      <c r="O29" s="623"/>
      <c r="P29" s="834">
        <v>0</v>
      </c>
      <c r="Q29" s="662">
        <f t="shared" si="4"/>
        <v>446</v>
      </c>
    </row>
    <row r="30" spans="1:17" s="124" customFormat="1" ht="12.75" customHeight="1" x14ac:dyDescent="0.25">
      <c r="A30" s="49">
        <f t="shared" si="5"/>
        <v>23</v>
      </c>
      <c r="B30" s="469"/>
      <c r="C30" s="826" t="s">
        <v>1085</v>
      </c>
      <c r="D30" s="825"/>
      <c r="E30" s="1186">
        <v>1379.7979800000001</v>
      </c>
      <c r="F30" s="1186">
        <v>1373.67715</v>
      </c>
      <c r="G30" s="822">
        <v>0</v>
      </c>
      <c r="H30" s="822">
        <v>0</v>
      </c>
      <c r="I30" s="640">
        <f t="shared" si="2"/>
        <v>1379.7979800000001</v>
      </c>
      <c r="J30" s="640">
        <f t="shared" si="2"/>
        <v>1373.67715</v>
      </c>
      <c r="K30" s="125">
        <v>0</v>
      </c>
      <c r="L30" s="125">
        <v>0</v>
      </c>
      <c r="M30" s="125">
        <v>0</v>
      </c>
      <c r="N30" s="662">
        <f t="shared" si="3"/>
        <v>6.120830000000069</v>
      </c>
      <c r="O30" s="623"/>
      <c r="P30" s="834">
        <v>0</v>
      </c>
      <c r="Q30" s="662">
        <f t="shared" si="4"/>
        <v>1373.67715</v>
      </c>
    </row>
    <row r="31" spans="1:17" s="124" customFormat="1" ht="12.75" customHeight="1" x14ac:dyDescent="0.25">
      <c r="A31" s="49">
        <f t="shared" si="5"/>
        <v>24</v>
      </c>
      <c r="B31" s="469"/>
      <c r="C31" s="826" t="s">
        <v>1158</v>
      </c>
      <c r="D31" s="825"/>
      <c r="E31" s="1186">
        <v>0</v>
      </c>
      <c r="F31" s="1186">
        <v>0</v>
      </c>
      <c r="G31" s="822">
        <v>0</v>
      </c>
      <c r="H31" s="822">
        <v>0</v>
      </c>
      <c r="I31" s="640">
        <f t="shared" si="2"/>
        <v>0</v>
      </c>
      <c r="J31" s="640">
        <f t="shared" si="2"/>
        <v>0</v>
      </c>
      <c r="K31" s="125">
        <v>0</v>
      </c>
      <c r="L31" s="125">
        <v>0</v>
      </c>
      <c r="M31" s="125">
        <v>0</v>
      </c>
      <c r="N31" s="662">
        <f t="shared" si="3"/>
        <v>0</v>
      </c>
      <c r="O31" s="623"/>
      <c r="P31" s="834">
        <v>0</v>
      </c>
      <c r="Q31" s="662">
        <f t="shared" si="4"/>
        <v>0</v>
      </c>
    </row>
    <row r="32" spans="1:17" s="124" customFormat="1" ht="12.75" customHeight="1" x14ac:dyDescent="0.25">
      <c r="A32" s="49">
        <f t="shared" si="5"/>
        <v>25</v>
      </c>
      <c r="B32" s="469"/>
      <c r="C32" s="826" t="s">
        <v>795</v>
      </c>
      <c r="D32" s="825"/>
      <c r="E32" s="1186">
        <v>1058</v>
      </c>
      <c r="F32" s="1186">
        <v>998.43686000000002</v>
      </c>
      <c r="G32" s="822">
        <v>0</v>
      </c>
      <c r="H32" s="822">
        <v>0</v>
      </c>
      <c r="I32" s="640">
        <f t="shared" si="2"/>
        <v>1058</v>
      </c>
      <c r="J32" s="640">
        <f t="shared" si="2"/>
        <v>998.43686000000002</v>
      </c>
      <c r="K32" s="125">
        <v>0</v>
      </c>
      <c r="L32" s="125">
        <v>0</v>
      </c>
      <c r="M32" s="125">
        <v>0</v>
      </c>
      <c r="N32" s="662">
        <f t="shared" si="3"/>
        <v>59.563139999999976</v>
      </c>
      <c r="O32" s="623"/>
      <c r="P32" s="834">
        <v>6.3061999999999996</v>
      </c>
      <c r="Q32" s="662">
        <f t="shared" si="4"/>
        <v>1004.74306</v>
      </c>
    </row>
    <row r="33" spans="1:18" s="124" customFormat="1" ht="12.75" customHeight="1" x14ac:dyDescent="0.25">
      <c r="A33" s="49">
        <f t="shared" si="5"/>
        <v>26</v>
      </c>
      <c r="B33" s="469"/>
      <c r="C33" s="826" t="s">
        <v>929</v>
      </c>
      <c r="D33" s="825"/>
      <c r="E33" s="1186">
        <v>0</v>
      </c>
      <c r="F33" s="1186">
        <v>0</v>
      </c>
      <c r="G33" s="822">
        <v>0</v>
      </c>
      <c r="H33" s="822">
        <v>0</v>
      </c>
      <c r="I33" s="640">
        <f t="shared" si="2"/>
        <v>0</v>
      </c>
      <c r="J33" s="640">
        <f t="shared" si="2"/>
        <v>0</v>
      </c>
      <c r="K33" s="125">
        <v>0</v>
      </c>
      <c r="L33" s="125">
        <v>0</v>
      </c>
      <c r="M33" s="125">
        <v>0</v>
      </c>
      <c r="N33" s="662">
        <f>+I33-J33</f>
        <v>0</v>
      </c>
      <c r="O33" s="623"/>
      <c r="P33" s="834">
        <v>0</v>
      </c>
      <c r="Q33" s="662">
        <f t="shared" si="4"/>
        <v>0</v>
      </c>
    </row>
    <row r="34" spans="1:18" s="124" customFormat="1" ht="12.75" customHeight="1" x14ac:dyDescent="0.25">
      <c r="A34" s="49">
        <f>A33+1</f>
        <v>27</v>
      </c>
      <c r="B34" s="469"/>
      <c r="C34" s="826" t="s">
        <v>1099</v>
      </c>
      <c r="D34" s="825"/>
      <c r="E34" s="1186">
        <v>4189.1170000000002</v>
      </c>
      <c r="F34" s="1186">
        <v>4189.1170000000002</v>
      </c>
      <c r="G34" s="822">
        <v>0</v>
      </c>
      <c r="H34" s="822">
        <v>0</v>
      </c>
      <c r="I34" s="640">
        <f>+E34+G34</f>
        <v>4189.1170000000002</v>
      </c>
      <c r="J34" s="640">
        <f>+F34+H34</f>
        <v>4189.1170000000002</v>
      </c>
      <c r="K34" s="125">
        <v>0</v>
      </c>
      <c r="L34" s="125">
        <v>0</v>
      </c>
      <c r="M34" s="125">
        <v>1880.7506599999999</v>
      </c>
      <c r="N34" s="662">
        <f>+I34-J34</f>
        <v>0</v>
      </c>
      <c r="O34" s="623"/>
      <c r="P34" s="834">
        <v>0</v>
      </c>
      <c r="Q34" s="662">
        <f t="shared" si="4"/>
        <v>4189.1170000000002</v>
      </c>
    </row>
    <row r="35" spans="1:18" s="124" customFormat="1" ht="12.75" customHeight="1" x14ac:dyDescent="0.25">
      <c r="A35" s="49">
        <f>A34+1</f>
        <v>28</v>
      </c>
      <c r="B35" s="469"/>
      <c r="C35" s="826" t="s">
        <v>1051</v>
      </c>
      <c r="D35" s="825"/>
      <c r="E35" s="1186">
        <v>127382.59545000001</v>
      </c>
      <c r="F35" s="1186">
        <v>127382.59545000001</v>
      </c>
      <c r="G35" s="822">
        <v>0</v>
      </c>
      <c r="H35" s="822">
        <v>0</v>
      </c>
      <c r="I35" s="640">
        <f>+E35+G35</f>
        <v>127382.59545000001</v>
      </c>
      <c r="J35" s="640">
        <f>+F35+H35</f>
        <v>127382.59545000001</v>
      </c>
      <c r="K35" s="125">
        <v>0</v>
      </c>
      <c r="L35" s="125">
        <v>0</v>
      </c>
      <c r="M35" s="125">
        <v>69.403499999999994</v>
      </c>
      <c r="N35" s="662">
        <f>+I35-J35</f>
        <v>0</v>
      </c>
      <c r="O35" s="623"/>
      <c r="P35" s="834">
        <v>0</v>
      </c>
      <c r="Q35" s="662">
        <f t="shared" si="4"/>
        <v>127382.59545000001</v>
      </c>
    </row>
    <row r="36" spans="1:18" s="124" customFormat="1" ht="12.75" customHeight="1" x14ac:dyDescent="0.25">
      <c r="A36" s="49">
        <f t="shared" si="5"/>
        <v>29</v>
      </c>
      <c r="B36" s="469"/>
      <c r="C36" s="826" t="s">
        <v>1069</v>
      </c>
      <c r="D36" s="825"/>
      <c r="E36" s="1186">
        <v>923.78200000000004</v>
      </c>
      <c r="F36" s="1186">
        <v>696.33500000000004</v>
      </c>
      <c r="G36" s="822">
        <v>0</v>
      </c>
      <c r="H36" s="822">
        <v>0</v>
      </c>
      <c r="I36" s="640">
        <f t="shared" si="2"/>
        <v>923.78200000000004</v>
      </c>
      <c r="J36" s="640">
        <f t="shared" si="2"/>
        <v>696.33500000000004</v>
      </c>
      <c r="K36" s="125">
        <v>0</v>
      </c>
      <c r="L36" s="125">
        <v>0</v>
      </c>
      <c r="M36" s="125">
        <v>0</v>
      </c>
      <c r="N36" s="662">
        <f t="shared" si="3"/>
        <v>227.447</v>
      </c>
      <c r="O36" s="623"/>
      <c r="P36" s="834">
        <v>4.1230900000000004</v>
      </c>
      <c r="Q36" s="662">
        <f t="shared" si="4"/>
        <v>700.45809000000008</v>
      </c>
    </row>
    <row r="37" spans="1:18" ht="12.75" customHeight="1" x14ac:dyDescent="0.25">
      <c r="A37" s="399">
        <f t="shared" si="5"/>
        <v>30</v>
      </c>
      <c r="B37" s="473">
        <v>25</v>
      </c>
      <c r="C37" s="1389" t="s">
        <v>553</v>
      </c>
      <c r="D37" s="1390"/>
      <c r="E37" s="823">
        <f>+E38+E39</f>
        <v>1964.8</v>
      </c>
      <c r="F37" s="823">
        <f t="shared" ref="F37:N37" si="12">+F38+F39</f>
        <v>1964.8</v>
      </c>
      <c r="G37" s="823">
        <f t="shared" si="12"/>
        <v>0</v>
      </c>
      <c r="H37" s="823">
        <f t="shared" si="12"/>
        <v>0</v>
      </c>
      <c r="I37" s="823">
        <f t="shared" si="12"/>
        <v>1964.8</v>
      </c>
      <c r="J37" s="823">
        <f t="shared" si="12"/>
        <v>1964.8</v>
      </c>
      <c r="K37" s="823">
        <f t="shared" si="12"/>
        <v>0</v>
      </c>
      <c r="L37" s="823">
        <f t="shared" si="12"/>
        <v>0</v>
      </c>
      <c r="M37" s="823">
        <f t="shared" si="12"/>
        <v>0</v>
      </c>
      <c r="N37" s="812">
        <f t="shared" si="12"/>
        <v>0</v>
      </c>
      <c r="O37" s="623"/>
      <c r="P37" s="813">
        <f>+P38+P39</f>
        <v>144.14500000000001</v>
      </c>
      <c r="Q37" s="814">
        <f>+Q38+Q39</f>
        <v>2108.9449999999997</v>
      </c>
      <c r="R37" s="626"/>
    </row>
    <row r="38" spans="1:18" ht="12.75" customHeight="1" x14ac:dyDescent="0.25">
      <c r="A38" s="49">
        <f t="shared" si="5"/>
        <v>31</v>
      </c>
      <c r="B38" s="469"/>
      <c r="C38" s="1391" t="s">
        <v>970</v>
      </c>
      <c r="D38" s="1392"/>
      <c r="E38" s="1186">
        <v>83.5</v>
      </c>
      <c r="F38" s="1186">
        <v>83.5</v>
      </c>
      <c r="G38" s="822">
        <v>0</v>
      </c>
      <c r="H38" s="822">
        <v>0</v>
      </c>
      <c r="I38" s="640">
        <f t="shared" si="2"/>
        <v>83.5</v>
      </c>
      <c r="J38" s="640">
        <f t="shared" si="2"/>
        <v>83.5</v>
      </c>
      <c r="K38" s="125">
        <v>0</v>
      </c>
      <c r="L38" s="125">
        <v>0</v>
      </c>
      <c r="M38" s="125">
        <v>0</v>
      </c>
      <c r="N38" s="662">
        <f t="shared" si="3"/>
        <v>0</v>
      </c>
      <c r="O38" s="623"/>
      <c r="P38" s="834">
        <v>0</v>
      </c>
      <c r="Q38" s="662">
        <f t="shared" si="4"/>
        <v>83.5</v>
      </c>
      <c r="R38" s="626"/>
    </row>
    <row r="39" spans="1:18" ht="12.75" customHeight="1" x14ac:dyDescent="0.25">
      <c r="A39" s="49">
        <f t="shared" si="5"/>
        <v>32</v>
      </c>
      <c r="B39" s="469"/>
      <c r="C39" s="1391" t="s">
        <v>796</v>
      </c>
      <c r="D39" s="1392"/>
      <c r="E39" s="1186">
        <v>1881.3</v>
      </c>
      <c r="F39" s="1186">
        <v>1881.3</v>
      </c>
      <c r="G39" s="822">
        <v>0</v>
      </c>
      <c r="H39" s="822">
        <v>0</v>
      </c>
      <c r="I39" s="640">
        <f t="shared" si="2"/>
        <v>1881.3</v>
      </c>
      <c r="J39" s="640">
        <f t="shared" si="2"/>
        <v>1881.3</v>
      </c>
      <c r="K39" s="125">
        <v>0</v>
      </c>
      <c r="L39" s="125">
        <v>0</v>
      </c>
      <c r="M39" s="125">
        <v>0</v>
      </c>
      <c r="N39" s="662">
        <f t="shared" si="3"/>
        <v>0</v>
      </c>
      <c r="O39" s="623"/>
      <c r="P39" s="834">
        <v>144.14500000000001</v>
      </c>
      <c r="Q39" s="662">
        <f t="shared" si="4"/>
        <v>2025.4449999999999</v>
      </c>
    </row>
    <row r="40" spans="1:18" ht="12.75" customHeight="1" x14ac:dyDescent="0.25">
      <c r="A40" s="399">
        <f t="shared" si="5"/>
        <v>33</v>
      </c>
      <c r="B40" s="473">
        <v>28</v>
      </c>
      <c r="C40" s="1389" t="s">
        <v>556</v>
      </c>
      <c r="D40" s="1390"/>
      <c r="E40" s="811">
        <f t="shared" ref="E40:N40" si="13">SUM(E41,E44)</f>
        <v>16910.99829</v>
      </c>
      <c r="F40" s="811">
        <f t="shared" si="13"/>
        <v>12994.929550000001</v>
      </c>
      <c r="G40" s="811">
        <f t="shared" si="13"/>
        <v>0</v>
      </c>
      <c r="H40" s="811">
        <f t="shared" si="13"/>
        <v>0</v>
      </c>
      <c r="I40" s="811">
        <f t="shared" si="13"/>
        <v>16910.99829</v>
      </c>
      <c r="J40" s="811">
        <f t="shared" si="13"/>
        <v>12994.929550000001</v>
      </c>
      <c r="K40" s="811">
        <f t="shared" si="13"/>
        <v>0</v>
      </c>
      <c r="L40" s="811">
        <f t="shared" si="13"/>
        <v>0</v>
      </c>
      <c r="M40" s="811">
        <f t="shared" si="13"/>
        <v>0</v>
      </c>
      <c r="N40" s="812">
        <f t="shared" si="13"/>
        <v>3916.0687400000002</v>
      </c>
      <c r="O40" s="623"/>
      <c r="P40" s="813">
        <f>SUM(P41,P44)</f>
        <v>0</v>
      </c>
      <c r="Q40" s="812">
        <f>SUM(Q41,Q44)</f>
        <v>12994.929550000001</v>
      </c>
    </row>
    <row r="41" spans="1:18" ht="12.75" customHeight="1" x14ac:dyDescent="0.25">
      <c r="A41" s="49">
        <f t="shared" si="5"/>
        <v>34</v>
      </c>
      <c r="B41" s="469"/>
      <c r="C41" s="918" t="s">
        <v>797</v>
      </c>
      <c r="D41" s="919"/>
      <c r="E41" s="823">
        <f>+E42+E43</f>
        <v>13663.13278</v>
      </c>
      <c r="F41" s="823">
        <f t="shared" ref="F41:N41" si="14">+F42+F43</f>
        <v>9452.1500400000004</v>
      </c>
      <c r="G41" s="823">
        <f t="shared" si="14"/>
        <v>0</v>
      </c>
      <c r="H41" s="823">
        <f t="shared" si="14"/>
        <v>0</v>
      </c>
      <c r="I41" s="823">
        <f t="shared" si="14"/>
        <v>13663.13278</v>
      </c>
      <c r="J41" s="823">
        <f t="shared" si="14"/>
        <v>9452.1500400000004</v>
      </c>
      <c r="K41" s="823">
        <f t="shared" si="14"/>
        <v>0</v>
      </c>
      <c r="L41" s="823">
        <f t="shared" si="14"/>
        <v>0</v>
      </c>
      <c r="M41" s="823">
        <f t="shared" si="14"/>
        <v>0</v>
      </c>
      <c r="N41" s="812">
        <f t="shared" si="14"/>
        <v>4210.9827400000004</v>
      </c>
      <c r="O41" s="623"/>
      <c r="P41" s="813">
        <f>+P42+P43</f>
        <v>0</v>
      </c>
      <c r="Q41" s="814">
        <f>+Q42+Q43</f>
        <v>9452.1500400000004</v>
      </c>
    </row>
    <row r="42" spans="1:18" ht="12.75" customHeight="1" x14ac:dyDescent="0.25">
      <c r="A42" s="126">
        <f t="shared" si="5"/>
        <v>35</v>
      </c>
      <c r="B42" s="469"/>
      <c r="C42" s="826"/>
      <c r="D42" s="965" t="s">
        <v>971</v>
      </c>
      <c r="E42" s="1186">
        <v>10433.41849</v>
      </c>
      <c r="F42" s="1186">
        <v>3787.73612</v>
      </c>
      <c r="G42" s="822">
        <v>0</v>
      </c>
      <c r="H42" s="822">
        <v>0</v>
      </c>
      <c r="I42" s="640">
        <f>+E42+G42</f>
        <v>10433.41849</v>
      </c>
      <c r="J42" s="640">
        <f>+F42+H42</f>
        <v>3787.73612</v>
      </c>
      <c r="K42" s="125">
        <v>0</v>
      </c>
      <c r="L42" s="125">
        <v>0</v>
      </c>
      <c r="M42" s="125">
        <v>0</v>
      </c>
      <c r="N42" s="662">
        <f>+I42-J42</f>
        <v>6645.6823700000004</v>
      </c>
      <c r="O42" s="623"/>
      <c r="P42" s="834">
        <v>0</v>
      </c>
      <c r="Q42" s="662">
        <f>+J42+P42</f>
        <v>3787.73612</v>
      </c>
    </row>
    <row r="43" spans="1:18" ht="12.75" customHeight="1" x14ac:dyDescent="0.25">
      <c r="A43" s="966">
        <f t="shared" si="5"/>
        <v>36</v>
      </c>
      <c r="B43" s="470"/>
      <c r="C43" s="967"/>
      <c r="D43" s="968" t="s">
        <v>930</v>
      </c>
      <c r="E43" s="1186">
        <v>3229.7142899999999</v>
      </c>
      <c r="F43" s="1186">
        <v>5664.41392</v>
      </c>
      <c r="G43" s="822">
        <v>0</v>
      </c>
      <c r="H43" s="822">
        <v>0</v>
      </c>
      <c r="I43" s="640">
        <f>+E43+G43</f>
        <v>3229.7142899999999</v>
      </c>
      <c r="J43" s="640">
        <f>+F43+H43</f>
        <v>5664.41392</v>
      </c>
      <c r="K43" s="125">
        <v>0</v>
      </c>
      <c r="L43" s="125">
        <v>0</v>
      </c>
      <c r="M43" s="125">
        <v>0</v>
      </c>
      <c r="N43" s="662">
        <f>+I43-J43</f>
        <v>-2434.6996300000001</v>
      </c>
      <c r="O43" s="623"/>
      <c r="P43" s="834">
        <v>0</v>
      </c>
      <c r="Q43" s="662">
        <f>+J43+P43</f>
        <v>5664.41392</v>
      </c>
    </row>
    <row r="44" spans="1:18" ht="12.75" customHeight="1" x14ac:dyDescent="0.25">
      <c r="A44" s="49">
        <f t="shared" si="5"/>
        <v>37</v>
      </c>
      <c r="B44" s="469"/>
      <c r="C44" s="918" t="s">
        <v>798</v>
      </c>
      <c r="D44" s="919"/>
      <c r="E44" s="823">
        <f>E45</f>
        <v>3247.8655099999996</v>
      </c>
      <c r="F44" s="823">
        <f t="shared" ref="F44:N44" si="15">F45</f>
        <v>3542.7795099999998</v>
      </c>
      <c r="G44" s="823">
        <f t="shared" si="15"/>
        <v>0</v>
      </c>
      <c r="H44" s="823">
        <f t="shared" si="15"/>
        <v>0</v>
      </c>
      <c r="I44" s="823">
        <f t="shared" si="15"/>
        <v>3247.8655099999996</v>
      </c>
      <c r="J44" s="823">
        <f t="shared" si="15"/>
        <v>3542.7795099999998</v>
      </c>
      <c r="K44" s="823">
        <f t="shared" si="15"/>
        <v>0</v>
      </c>
      <c r="L44" s="823">
        <f t="shared" si="15"/>
        <v>0</v>
      </c>
      <c r="M44" s="823">
        <f t="shared" si="15"/>
        <v>0</v>
      </c>
      <c r="N44" s="812">
        <f t="shared" si="15"/>
        <v>-294.91400000000021</v>
      </c>
      <c r="O44" s="623"/>
      <c r="P44" s="813">
        <f>P45</f>
        <v>0</v>
      </c>
      <c r="Q44" s="814">
        <f>Q45</f>
        <v>3542.7795099999998</v>
      </c>
    </row>
    <row r="45" spans="1:18" ht="12.75" customHeight="1" thickBot="1" x14ac:dyDescent="0.3">
      <c r="A45" s="49">
        <f t="shared" si="5"/>
        <v>38</v>
      </c>
      <c r="B45" s="469"/>
      <c r="C45" s="969"/>
      <c r="D45" s="968" t="s">
        <v>931</v>
      </c>
      <c r="E45" s="1198">
        <v>3247.8655099999996</v>
      </c>
      <c r="F45" s="970">
        <v>3542.7795099999998</v>
      </c>
      <c r="G45" s="1209">
        <v>0</v>
      </c>
      <c r="H45" s="821">
        <v>0</v>
      </c>
      <c r="I45" s="640">
        <f>+E45+G45</f>
        <v>3247.8655099999996</v>
      </c>
      <c r="J45" s="640">
        <f>+F45+H45</f>
        <v>3542.7795099999998</v>
      </c>
      <c r="K45" s="970">
        <v>0</v>
      </c>
      <c r="L45" s="970">
        <v>0</v>
      </c>
      <c r="M45" s="970">
        <v>0</v>
      </c>
      <c r="N45" s="662">
        <f>+I45-J45</f>
        <v>-294.91400000000021</v>
      </c>
      <c r="O45" s="623"/>
      <c r="P45" s="833">
        <v>0</v>
      </c>
      <c r="Q45" s="662">
        <f>+J45+P45</f>
        <v>3542.7795099999998</v>
      </c>
    </row>
    <row r="46" spans="1:18" ht="13.5" customHeight="1" thickBot="1" x14ac:dyDescent="0.3">
      <c r="A46" s="474">
        <f t="shared" si="5"/>
        <v>39</v>
      </c>
      <c r="B46" s="475"/>
      <c r="C46" s="627" t="s">
        <v>520</v>
      </c>
      <c r="D46" s="628"/>
      <c r="E46" s="1079">
        <f t="shared" ref="E46:N46" si="16">+E7+E26+E37+E40</f>
        <v>6024389.8738900004</v>
      </c>
      <c r="F46" s="1079">
        <f t="shared" si="16"/>
        <v>6016712.8723000009</v>
      </c>
      <c r="G46" s="1079">
        <f t="shared" si="16"/>
        <v>148601.05989999999</v>
      </c>
      <c r="H46" s="1079">
        <f t="shared" si="16"/>
        <v>148684.87406999999</v>
      </c>
      <c r="I46" s="1079">
        <f t="shared" si="16"/>
        <v>6172990.9337900002</v>
      </c>
      <c r="J46" s="1079">
        <f t="shared" si="16"/>
        <v>6165397.7463699989</v>
      </c>
      <c r="K46" s="1079">
        <f t="shared" si="16"/>
        <v>91392.845140000005</v>
      </c>
      <c r="L46" s="1079">
        <f t="shared" si="16"/>
        <v>1054726.2831999999</v>
      </c>
      <c r="M46" s="1079">
        <f t="shared" si="16"/>
        <v>3368.8697699999998</v>
      </c>
      <c r="N46" s="1080">
        <f t="shared" si="16"/>
        <v>7593.1874200000038</v>
      </c>
      <c r="O46" s="623"/>
      <c r="P46" s="1081">
        <f>+P7+P26+P37+P40</f>
        <v>36609.474289999998</v>
      </c>
      <c r="Q46" s="1080">
        <f>+Q7+Q26+Q37+Q40</f>
        <v>6202007.220660001</v>
      </c>
    </row>
    <row r="47" spans="1:18" ht="13.5" customHeight="1" x14ac:dyDescent="0.25">
      <c r="A47" s="827"/>
      <c r="B47" s="827"/>
      <c r="C47" s="971"/>
      <c r="D47" s="972"/>
      <c r="O47" s="623"/>
    </row>
    <row r="48" spans="1:18" ht="22.5" customHeight="1" x14ac:dyDescent="0.25">
      <c r="A48" s="123" t="s">
        <v>467</v>
      </c>
      <c r="B48" s="123"/>
    </row>
    <row r="49" spans="1:17" ht="57.2" customHeight="1" x14ac:dyDescent="0.25">
      <c r="A49" s="1366" t="s">
        <v>972</v>
      </c>
      <c r="B49" s="1366"/>
      <c r="C49" s="1366"/>
      <c r="D49" s="1366"/>
      <c r="E49" s="1366"/>
      <c r="F49" s="1366"/>
      <c r="G49" s="1366"/>
      <c r="H49" s="1366"/>
      <c r="I49" s="1366"/>
      <c r="J49" s="1366"/>
      <c r="K49" s="1366"/>
      <c r="L49" s="1366"/>
      <c r="M49" s="1366"/>
      <c r="N49" s="1366"/>
      <c r="O49" s="1366"/>
      <c r="P49" s="1366"/>
      <c r="Q49" s="1366"/>
    </row>
    <row r="50" spans="1:17" ht="18" customHeight="1" x14ac:dyDescent="0.25">
      <c r="A50" s="1366" t="s">
        <v>588</v>
      </c>
      <c r="B50" s="1366"/>
      <c r="C50" s="1366"/>
      <c r="D50" s="1366"/>
      <c r="E50" s="1366"/>
      <c r="F50" s="1366"/>
      <c r="G50" s="1366"/>
      <c r="H50" s="1366"/>
      <c r="I50" s="1366"/>
      <c r="J50" s="1366"/>
      <c r="K50" s="1366"/>
      <c r="L50" s="1366"/>
      <c r="M50" s="1366"/>
      <c r="N50" s="1366"/>
      <c r="O50" s="1366"/>
      <c r="P50" s="1366"/>
      <c r="Q50" s="1366"/>
    </row>
    <row r="51" spans="1:17" ht="34.15" customHeight="1" x14ac:dyDescent="0.25">
      <c r="A51" s="1366" t="s">
        <v>973</v>
      </c>
      <c r="B51" s="1366"/>
      <c r="C51" s="1366"/>
      <c r="D51" s="1366"/>
      <c r="E51" s="1366"/>
      <c r="F51" s="1366"/>
      <c r="G51" s="1366"/>
      <c r="H51" s="1366"/>
      <c r="I51" s="1366"/>
      <c r="J51" s="1366"/>
      <c r="K51" s="1366"/>
      <c r="L51" s="1366"/>
      <c r="M51" s="1366"/>
      <c r="N51" s="1366"/>
      <c r="O51" s="1366"/>
      <c r="P51" s="1366"/>
      <c r="Q51" s="1366"/>
    </row>
    <row r="52" spans="1:17" ht="34.15" customHeight="1" x14ac:dyDescent="0.25">
      <c r="A52" s="1366" t="s">
        <v>590</v>
      </c>
      <c r="B52" s="1366"/>
      <c r="C52" s="1366"/>
      <c r="D52" s="1366"/>
      <c r="E52" s="1366"/>
      <c r="F52" s="1366"/>
      <c r="G52" s="1366"/>
      <c r="H52" s="1366"/>
      <c r="I52" s="1366"/>
      <c r="J52" s="1366"/>
      <c r="K52" s="1366"/>
      <c r="L52" s="1366"/>
      <c r="M52" s="1366"/>
      <c r="N52" s="1366"/>
      <c r="O52" s="1366"/>
      <c r="P52" s="1366"/>
      <c r="Q52" s="1366"/>
    </row>
    <row r="53" spans="1:17" ht="19.5" customHeight="1" x14ac:dyDescent="0.25">
      <c r="A53" s="1366" t="s">
        <v>592</v>
      </c>
      <c r="B53" s="1366"/>
      <c r="C53" s="1366"/>
      <c r="D53" s="1366"/>
      <c r="E53" s="1366"/>
      <c r="F53" s="1366"/>
      <c r="G53" s="1366"/>
      <c r="H53" s="1366"/>
      <c r="I53" s="1366"/>
      <c r="J53" s="1366"/>
      <c r="K53" s="1366"/>
      <c r="L53" s="1366"/>
      <c r="M53" s="1366"/>
      <c r="N53" s="1366"/>
      <c r="O53" s="1366"/>
      <c r="P53" s="1366"/>
      <c r="Q53" s="1366"/>
    </row>
    <row r="54" spans="1:17" ht="19.5" customHeight="1" x14ac:dyDescent="0.25">
      <c r="A54" s="1366" t="s">
        <v>1392</v>
      </c>
      <c r="B54" s="1366"/>
      <c r="C54" s="1366"/>
      <c r="D54" s="1366"/>
      <c r="E54" s="1366"/>
      <c r="F54" s="1366"/>
      <c r="G54" s="1366"/>
      <c r="H54" s="1366"/>
      <c r="I54" s="1366"/>
      <c r="J54" s="1366"/>
      <c r="K54" s="1366"/>
      <c r="L54" s="1366"/>
      <c r="M54" s="1366"/>
      <c r="N54" s="1366"/>
      <c r="O54" s="1366"/>
      <c r="P54" s="1366"/>
      <c r="Q54" s="1366"/>
    </row>
    <row r="55" spans="1:17" x14ac:dyDescent="0.25">
      <c r="A55" s="44"/>
      <c r="B55" s="44"/>
      <c r="D55" s="123"/>
    </row>
    <row r="56" spans="1:17" x14ac:dyDescent="0.25">
      <c r="D56" s="123"/>
    </row>
    <row r="57" spans="1:17" x14ac:dyDescent="0.25">
      <c r="D57" s="123"/>
    </row>
  </sheetData>
  <mergeCells count="22">
    <mergeCell ref="A50:Q50"/>
    <mergeCell ref="C37:D37"/>
    <mergeCell ref="C38:D38"/>
    <mergeCell ref="C39:D39"/>
    <mergeCell ref="C40:D40"/>
    <mergeCell ref="A49:Q49"/>
    <mergeCell ref="A54:Q54"/>
    <mergeCell ref="A4:A6"/>
    <mergeCell ref="C4:D6"/>
    <mergeCell ref="E4:F4"/>
    <mergeCell ref="G4:H4"/>
    <mergeCell ref="I4:J4"/>
    <mergeCell ref="K4:M4"/>
    <mergeCell ref="N4:N5"/>
    <mergeCell ref="P4:P5"/>
    <mergeCell ref="Q4:Q5"/>
    <mergeCell ref="C8:D8"/>
    <mergeCell ref="C19:D19"/>
    <mergeCell ref="C26:D26"/>
    <mergeCell ref="A51:Q51"/>
    <mergeCell ref="A52:Q52"/>
    <mergeCell ref="A53:Q53"/>
  </mergeCells>
  <printOptions horizontalCentered="1" verticalCentered="1"/>
  <pageMargins left="0.19685039370078741" right="0.19685039370078741" top="0.39370078740157483" bottom="0.39370078740157483" header="0.31496062992125984" footer="0.31496062992125984"/>
  <pageSetup paperSize="9" scale="6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T62"/>
  <sheetViews>
    <sheetView zoomScaleNormal="100" workbookViewId="0">
      <selection activeCell="B151" sqref="B151"/>
    </sheetView>
  </sheetViews>
  <sheetFormatPr defaultColWidth="9.140625" defaultRowHeight="15" x14ac:dyDescent="0.25"/>
  <cols>
    <col min="1" max="1" width="5" style="170" customWidth="1"/>
    <col min="2" max="2" width="5.7109375" style="170" bestFit="1" customWidth="1"/>
    <col min="3" max="3" width="6" style="170" customWidth="1"/>
    <col min="4" max="4" width="51" style="170" customWidth="1"/>
    <col min="5" max="10" width="12.140625" style="170" customWidth="1"/>
    <col min="11" max="15" width="10.5703125" style="170" customWidth="1"/>
    <col min="16" max="16" width="0.7109375" style="170" customWidth="1"/>
    <col min="17" max="17" width="11.42578125" style="170" customWidth="1"/>
    <col min="18" max="18" width="10.7109375" style="170" customWidth="1"/>
    <col min="19" max="19" width="9.140625" style="170"/>
    <col min="20" max="20" width="0" style="170" hidden="1" customWidth="1"/>
    <col min="21" max="243" width="9.140625" style="170"/>
    <col min="244" max="244" width="59.7109375" style="170" customWidth="1"/>
    <col min="245" max="251" width="10.5703125" style="170" customWidth="1"/>
    <col min="252" max="16384" width="9.140625" style="170"/>
  </cols>
  <sheetData>
    <row r="1" spans="1:20" ht="26.25" x14ac:dyDescent="0.25">
      <c r="A1" s="629" t="s">
        <v>799</v>
      </c>
      <c r="B1" s="463"/>
      <c r="C1" s="48"/>
    </row>
    <row r="2" spans="1:20" ht="15.75" x14ac:dyDescent="0.25">
      <c r="A2" s="48"/>
      <c r="B2" s="48"/>
      <c r="C2" s="48"/>
      <c r="D2" s="123" t="s">
        <v>587</v>
      </c>
      <c r="R2" s="51" t="s">
        <v>918</v>
      </c>
    </row>
    <row r="3" spans="1:20" ht="2.25" customHeight="1" thickBot="1" x14ac:dyDescent="0.3">
      <c r="D3" s="127"/>
      <c r="R3" s="51"/>
    </row>
    <row r="4" spans="1:20" s="123" customFormat="1" ht="45" customHeight="1" x14ac:dyDescent="0.25">
      <c r="A4" s="1404" t="s">
        <v>341</v>
      </c>
      <c r="B4" s="464" t="s">
        <v>341</v>
      </c>
      <c r="C4" s="1407"/>
      <c r="D4" s="1409" t="s">
        <v>800</v>
      </c>
      <c r="E4" s="1396" t="s">
        <v>515</v>
      </c>
      <c r="F4" s="1377"/>
      <c r="G4" s="1377" t="s">
        <v>516</v>
      </c>
      <c r="H4" s="1377"/>
      <c r="I4" s="1397" t="s">
        <v>517</v>
      </c>
      <c r="J4" s="1398"/>
      <c r="K4" s="1412" t="s">
        <v>1256</v>
      </c>
      <c r="L4" s="1412" t="s">
        <v>1262</v>
      </c>
      <c r="M4" s="1380" t="s">
        <v>1255</v>
      </c>
      <c r="N4" s="1400" t="s">
        <v>1261</v>
      </c>
      <c r="O4" s="1402" t="s">
        <v>974</v>
      </c>
      <c r="P4" s="973"/>
      <c r="Q4" s="1383" t="s">
        <v>1259</v>
      </c>
      <c r="R4" s="1385" t="s">
        <v>518</v>
      </c>
    </row>
    <row r="5" spans="1:20" s="123" customFormat="1" ht="13.5" customHeight="1" x14ac:dyDescent="0.25">
      <c r="A5" s="1405"/>
      <c r="B5" s="805" t="s">
        <v>967</v>
      </c>
      <c r="C5" s="1408"/>
      <c r="D5" s="1410"/>
      <c r="E5" s="49" t="s">
        <v>551</v>
      </c>
      <c r="F5" s="46" t="s">
        <v>975</v>
      </c>
      <c r="G5" s="46" t="s">
        <v>469</v>
      </c>
      <c r="H5" s="37" t="s">
        <v>474</v>
      </c>
      <c r="I5" s="37" t="s">
        <v>469</v>
      </c>
      <c r="J5" s="630" t="s">
        <v>474</v>
      </c>
      <c r="K5" s="1413"/>
      <c r="L5" s="1413"/>
      <c r="M5" s="1399"/>
      <c r="N5" s="1401"/>
      <c r="O5" s="1403"/>
      <c r="P5" s="973"/>
      <c r="Q5" s="1384"/>
      <c r="R5" s="1386"/>
    </row>
    <row r="6" spans="1:20" s="123" customFormat="1" ht="15" customHeight="1" thickBot="1" x14ac:dyDescent="0.3">
      <c r="A6" s="1406"/>
      <c r="B6" s="465" t="s">
        <v>969</v>
      </c>
      <c r="C6" s="1408"/>
      <c r="D6" s="1411"/>
      <c r="E6" s="128" t="s">
        <v>405</v>
      </c>
      <c r="F6" s="129" t="s">
        <v>406</v>
      </c>
      <c r="G6" s="130" t="s">
        <v>407</v>
      </c>
      <c r="H6" s="130" t="s">
        <v>408</v>
      </c>
      <c r="I6" s="130" t="s">
        <v>471</v>
      </c>
      <c r="J6" s="631" t="s">
        <v>472</v>
      </c>
      <c r="K6" s="974" t="s">
        <v>554</v>
      </c>
      <c r="L6" s="974" t="s">
        <v>559</v>
      </c>
      <c r="M6" s="129" t="s">
        <v>411</v>
      </c>
      <c r="N6" s="130" t="s">
        <v>412</v>
      </c>
      <c r="O6" s="975" t="s">
        <v>917</v>
      </c>
      <c r="P6" s="973"/>
      <c r="Q6" s="128" t="s">
        <v>413</v>
      </c>
      <c r="R6" s="976" t="s">
        <v>752</v>
      </c>
    </row>
    <row r="7" spans="1:20" s="124" customFormat="1" ht="15" customHeight="1" x14ac:dyDescent="0.25">
      <c r="A7" s="788">
        <v>1</v>
      </c>
      <c r="B7" s="476">
        <v>12</v>
      </c>
      <c r="C7" s="477" t="s">
        <v>473</v>
      </c>
      <c r="D7" s="478"/>
      <c r="E7" s="977">
        <f t="shared" ref="E7:J7" si="0">+E8+E15</f>
        <v>2793755.9395000003</v>
      </c>
      <c r="F7" s="632">
        <f t="shared" si="0"/>
        <v>2792773.0120200003</v>
      </c>
      <c r="G7" s="632">
        <f t="shared" si="0"/>
        <v>131954.16800000001</v>
      </c>
      <c r="H7" s="632">
        <f t="shared" si="0"/>
        <v>131495.74244</v>
      </c>
      <c r="I7" s="632">
        <f t="shared" si="0"/>
        <v>2925710.1075000004</v>
      </c>
      <c r="J7" s="632">
        <f t="shared" si="0"/>
        <v>2924268.7544600004</v>
      </c>
      <c r="K7" s="632">
        <v>0</v>
      </c>
      <c r="L7" s="632">
        <f>+L8+L15</f>
        <v>53479.512749999994</v>
      </c>
      <c r="M7" s="632">
        <f>+M8+M15</f>
        <v>124096.80235</v>
      </c>
      <c r="N7" s="632">
        <f>N8+N15</f>
        <v>10638.773150000001</v>
      </c>
      <c r="O7" s="634">
        <f>+O8+O15</f>
        <v>333.67684000000003</v>
      </c>
      <c r="P7" s="625"/>
      <c r="Q7" s="633">
        <f>+Q8+Q15</f>
        <v>7.7692500000000004</v>
      </c>
      <c r="R7" s="634">
        <f>+R8+R15</f>
        <v>2924276.5237100003</v>
      </c>
      <c r="S7" s="131"/>
    </row>
    <row r="8" spans="1:20" s="124" customFormat="1" ht="13.5" customHeight="1" x14ac:dyDescent="0.25">
      <c r="A8" s="789">
        <f>A7+1</f>
        <v>2</v>
      </c>
      <c r="B8" s="479"/>
      <c r="C8" s="480"/>
      <c r="D8" s="921" t="s">
        <v>576</v>
      </c>
      <c r="E8" s="635">
        <f>SUM(E9:E10)</f>
        <v>2268589.6975000002</v>
      </c>
      <c r="F8" s="636">
        <f t="shared" ref="F8:O8" si="1">SUM(F9:F10)</f>
        <v>2267607.2980200001</v>
      </c>
      <c r="G8" s="636">
        <f t="shared" si="1"/>
        <v>131226.16800000001</v>
      </c>
      <c r="H8" s="636">
        <f t="shared" si="1"/>
        <v>131495.74244</v>
      </c>
      <c r="I8" s="636">
        <f t="shared" si="1"/>
        <v>2399815.8655000003</v>
      </c>
      <c r="J8" s="636">
        <f t="shared" si="1"/>
        <v>2399103.0404600003</v>
      </c>
      <c r="K8" s="636">
        <v>0</v>
      </c>
      <c r="L8" s="636">
        <f t="shared" si="1"/>
        <v>6451.7447499999998</v>
      </c>
      <c r="M8" s="636">
        <f t="shared" si="1"/>
        <v>112001.64737999999</v>
      </c>
      <c r="N8" s="636">
        <f t="shared" si="1"/>
        <v>1278.2011499999999</v>
      </c>
      <c r="O8" s="639">
        <f t="shared" si="1"/>
        <v>333.10484000000002</v>
      </c>
      <c r="P8" s="625"/>
      <c r="Q8" s="638">
        <f>SUM(Q9:Q10)</f>
        <v>0</v>
      </c>
      <c r="R8" s="639">
        <f>SUM(R9:R10)</f>
        <v>2399103.0404600003</v>
      </c>
      <c r="T8" s="124">
        <f>I7*100/$I$49</f>
        <v>66.749570002205473</v>
      </c>
    </row>
    <row r="9" spans="1:20" s="123" customFormat="1" ht="12.75" customHeight="1" x14ac:dyDescent="0.25">
      <c r="A9" s="132">
        <f>A8+1</f>
        <v>3</v>
      </c>
      <c r="B9" s="481"/>
      <c r="C9" s="482"/>
      <c r="D9" s="133" t="s">
        <v>801</v>
      </c>
      <c r="E9" s="1186">
        <v>2258818.8640000001</v>
      </c>
      <c r="F9" s="1186">
        <v>2258818.8640000001</v>
      </c>
      <c r="G9" s="822">
        <v>131226.16800000001</v>
      </c>
      <c r="H9" s="822">
        <v>131495.74244</v>
      </c>
      <c r="I9" s="640">
        <f t="shared" ref="I9:J14" si="2">+E9+G9</f>
        <v>2390045.0320000001</v>
      </c>
      <c r="J9" s="640">
        <f t="shared" si="2"/>
        <v>2390314.6064400002</v>
      </c>
      <c r="K9" s="125">
        <v>0</v>
      </c>
      <c r="L9" s="125">
        <v>6451.7447499999998</v>
      </c>
      <c r="M9" s="125">
        <v>111832.78401999999</v>
      </c>
      <c r="N9" s="125">
        <v>0</v>
      </c>
      <c r="O9" s="1202">
        <v>0</v>
      </c>
      <c r="P9" s="624"/>
      <c r="Q9" s="834">
        <v>0</v>
      </c>
      <c r="R9" s="662">
        <f>J9+Q9</f>
        <v>2390314.6064400002</v>
      </c>
      <c r="T9" s="124">
        <f t="shared" ref="T9:T36" si="3">I8*100/$I$49</f>
        <v>54.751383842151746</v>
      </c>
    </row>
    <row r="10" spans="1:20" s="123" customFormat="1" ht="12.75" customHeight="1" x14ac:dyDescent="0.25">
      <c r="A10" s="49">
        <f t="shared" ref="A10:A49" si="4">+A9+1</f>
        <v>4</v>
      </c>
      <c r="B10" s="469"/>
      <c r="C10" s="482"/>
      <c r="D10" s="1099" t="s">
        <v>577</v>
      </c>
      <c r="E10" s="828">
        <f t="shared" ref="E10:J10" si="5">SUM(E11:E14)</f>
        <v>9770.8335000000006</v>
      </c>
      <c r="F10" s="828">
        <f t="shared" si="5"/>
        <v>8788.4340199999988</v>
      </c>
      <c r="G10" s="828">
        <f t="shared" si="5"/>
        <v>0</v>
      </c>
      <c r="H10" s="828">
        <f t="shared" si="5"/>
        <v>0</v>
      </c>
      <c r="I10" s="828">
        <f t="shared" si="5"/>
        <v>9770.8335000000006</v>
      </c>
      <c r="J10" s="828">
        <f t="shared" si="5"/>
        <v>8788.4340199999988</v>
      </c>
      <c r="K10" s="828">
        <v>0</v>
      </c>
      <c r="L10" s="828">
        <f>SUM(L11:L14)</f>
        <v>0</v>
      </c>
      <c r="M10" s="828">
        <f>SUM(M11:M14)</f>
        <v>168.86336</v>
      </c>
      <c r="N10" s="828">
        <f>SUM(N11:N14)</f>
        <v>1278.2011499999999</v>
      </c>
      <c r="O10" s="1203">
        <f>SUM(O11:O14)</f>
        <v>333.10484000000002</v>
      </c>
      <c r="P10" s="624"/>
      <c r="Q10" s="641">
        <f>SUM(Q11:Q14)</f>
        <v>0</v>
      </c>
      <c r="R10" s="829">
        <f>SUM(R11:R14)</f>
        <v>8788.4340199999988</v>
      </c>
      <c r="T10" s="124">
        <f t="shared" si="3"/>
        <v>54.528463966045003</v>
      </c>
    </row>
    <row r="11" spans="1:20" s="123" customFormat="1" ht="12.75" customHeight="1" x14ac:dyDescent="0.25">
      <c r="A11" s="49">
        <f t="shared" si="4"/>
        <v>5</v>
      </c>
      <c r="B11" s="469"/>
      <c r="C11" s="482"/>
      <c r="D11" s="134" t="s">
        <v>802</v>
      </c>
      <c r="E11" s="1186">
        <v>0</v>
      </c>
      <c r="F11" s="1186">
        <v>0</v>
      </c>
      <c r="G11" s="822">
        <v>0</v>
      </c>
      <c r="H11" s="822">
        <v>0</v>
      </c>
      <c r="I11" s="640">
        <f t="shared" si="2"/>
        <v>0</v>
      </c>
      <c r="J11" s="640">
        <f t="shared" si="2"/>
        <v>0</v>
      </c>
      <c r="K11" s="125">
        <v>0</v>
      </c>
      <c r="L11" s="822">
        <v>0</v>
      </c>
      <c r="M11" s="822">
        <v>0</v>
      </c>
      <c r="N11" s="822">
        <v>0</v>
      </c>
      <c r="O11" s="1202">
        <v>0</v>
      </c>
      <c r="P11" s="624"/>
      <c r="Q11" s="834">
        <v>0</v>
      </c>
      <c r="R11" s="662">
        <f>J11+Q11</f>
        <v>0</v>
      </c>
      <c r="T11" s="124">
        <f t="shared" si="3"/>
        <v>0.22291987610674249</v>
      </c>
    </row>
    <row r="12" spans="1:20" s="123" customFormat="1" ht="12.75" customHeight="1" x14ac:dyDescent="0.25">
      <c r="A12" s="49">
        <f t="shared" si="4"/>
        <v>6</v>
      </c>
      <c r="B12" s="469"/>
      <c r="C12" s="482"/>
      <c r="D12" s="135" t="s">
        <v>976</v>
      </c>
      <c r="E12" s="1186">
        <v>1718.8220000000001</v>
      </c>
      <c r="F12" s="1186">
        <v>1294.0645400000001</v>
      </c>
      <c r="G12" s="822">
        <v>0</v>
      </c>
      <c r="H12" s="822">
        <v>0</v>
      </c>
      <c r="I12" s="640">
        <f t="shared" si="2"/>
        <v>1718.8220000000001</v>
      </c>
      <c r="J12" s="640">
        <f t="shared" si="2"/>
        <v>1294.0645400000001</v>
      </c>
      <c r="K12" s="125">
        <v>0</v>
      </c>
      <c r="L12" s="822">
        <v>0</v>
      </c>
      <c r="M12" s="822">
        <v>15.570070000000001</v>
      </c>
      <c r="N12" s="822">
        <v>424.75749000000002</v>
      </c>
      <c r="O12" s="1202">
        <v>215.99082000000001</v>
      </c>
      <c r="P12" s="624"/>
      <c r="Q12" s="834">
        <v>0</v>
      </c>
      <c r="R12" s="662">
        <f>J12+Q12</f>
        <v>1294.0645400000001</v>
      </c>
      <c r="T12" s="124">
        <f t="shared" si="3"/>
        <v>0</v>
      </c>
    </row>
    <row r="13" spans="1:20" s="123" customFormat="1" ht="12.75" customHeight="1" x14ac:dyDescent="0.25">
      <c r="A13" s="49">
        <f t="shared" si="4"/>
        <v>7</v>
      </c>
      <c r="B13" s="469"/>
      <c r="C13" s="482"/>
      <c r="D13" s="135" t="s">
        <v>1159</v>
      </c>
      <c r="E13" s="1186">
        <v>0</v>
      </c>
      <c r="F13" s="1186">
        <v>-186.58</v>
      </c>
      <c r="G13" s="822">
        <v>0</v>
      </c>
      <c r="H13" s="822">
        <v>0</v>
      </c>
      <c r="I13" s="640">
        <f>+E13+G13</f>
        <v>0</v>
      </c>
      <c r="J13" s="640">
        <f>+F13+H13</f>
        <v>-186.58</v>
      </c>
      <c r="K13" s="125">
        <v>0</v>
      </c>
      <c r="L13" s="822">
        <v>0</v>
      </c>
      <c r="M13" s="822">
        <v>0</v>
      </c>
      <c r="N13" s="822">
        <v>441.32963999999998</v>
      </c>
      <c r="O13" s="1202">
        <v>0</v>
      </c>
      <c r="P13" s="624"/>
      <c r="Q13" s="834">
        <v>0</v>
      </c>
      <c r="R13" s="662">
        <f>J13+Q13</f>
        <v>-186.58</v>
      </c>
      <c r="T13" s="124">
        <f t="shared" si="3"/>
        <v>3.9214626601665387E-2</v>
      </c>
    </row>
    <row r="14" spans="1:20" s="123" customFormat="1" ht="12.75" customHeight="1" x14ac:dyDescent="0.25">
      <c r="A14" s="49">
        <f t="shared" si="4"/>
        <v>8</v>
      </c>
      <c r="B14" s="469"/>
      <c r="C14" s="482"/>
      <c r="D14" s="135" t="s">
        <v>977</v>
      </c>
      <c r="E14" s="1186">
        <v>8052.0114999999996</v>
      </c>
      <c r="F14" s="1186">
        <v>7680.9494799999993</v>
      </c>
      <c r="G14" s="822">
        <v>0</v>
      </c>
      <c r="H14" s="822">
        <v>0</v>
      </c>
      <c r="I14" s="640">
        <f t="shared" si="2"/>
        <v>8052.0114999999996</v>
      </c>
      <c r="J14" s="640">
        <f t="shared" si="2"/>
        <v>7680.9494799999993</v>
      </c>
      <c r="K14" s="125">
        <v>0</v>
      </c>
      <c r="L14" s="822">
        <v>0</v>
      </c>
      <c r="M14" s="822">
        <v>153.29328999999998</v>
      </c>
      <c r="N14" s="822">
        <v>412.11401999999998</v>
      </c>
      <c r="O14" s="1202">
        <v>117.11402000000001</v>
      </c>
      <c r="P14" s="624"/>
      <c r="Q14" s="834">
        <v>0</v>
      </c>
      <c r="R14" s="662">
        <f>J14+Q14</f>
        <v>7680.9494799999993</v>
      </c>
      <c r="T14" s="124">
        <f t="shared" si="3"/>
        <v>0</v>
      </c>
    </row>
    <row r="15" spans="1:20" s="124" customFormat="1" ht="13.5" customHeight="1" x14ac:dyDescent="0.25">
      <c r="A15" s="790">
        <f t="shared" si="4"/>
        <v>9</v>
      </c>
      <c r="B15" s="483"/>
      <c r="C15" s="480"/>
      <c r="D15" s="921" t="s">
        <v>585</v>
      </c>
      <c r="E15" s="635">
        <f t="shared" ref="E15:J15" si="6">SUM(E16,E19:E22)</f>
        <v>525166.24199999997</v>
      </c>
      <c r="F15" s="635">
        <f t="shared" si="6"/>
        <v>525165.71399999992</v>
      </c>
      <c r="G15" s="635">
        <f t="shared" si="6"/>
        <v>728</v>
      </c>
      <c r="H15" s="635">
        <f t="shared" si="6"/>
        <v>0</v>
      </c>
      <c r="I15" s="635">
        <f t="shared" si="6"/>
        <v>525894.24199999997</v>
      </c>
      <c r="J15" s="635">
        <f t="shared" si="6"/>
        <v>525165.71399999992</v>
      </c>
      <c r="K15" s="635">
        <v>0</v>
      </c>
      <c r="L15" s="635">
        <f>SUM(L16,L19:L22)</f>
        <v>47027.767999999996</v>
      </c>
      <c r="M15" s="635">
        <f>SUM(M16,M19:M22)</f>
        <v>12095.15497</v>
      </c>
      <c r="N15" s="635">
        <f>SUM(N16,N19:N22)</f>
        <v>9360.5720000000001</v>
      </c>
      <c r="O15" s="639">
        <f>SUM(O16,O19:O22)</f>
        <v>0.57199999999999995</v>
      </c>
      <c r="P15" s="625"/>
      <c r="Q15" s="638">
        <f>SUM(Q16,Q19:Q22)</f>
        <v>7.7692500000000004</v>
      </c>
      <c r="R15" s="637">
        <f>SUM(R16,R19:R22)</f>
        <v>525173.48325000005</v>
      </c>
      <c r="T15" s="124">
        <f t="shared" si="3"/>
        <v>0.18370524950507705</v>
      </c>
    </row>
    <row r="16" spans="1:20" s="124" customFormat="1" ht="12.75" customHeight="1" x14ac:dyDescent="0.25">
      <c r="A16" s="49">
        <f t="shared" si="4"/>
        <v>10</v>
      </c>
      <c r="B16" s="483"/>
      <c r="C16" s="484"/>
      <c r="D16" s="485" t="s">
        <v>1239</v>
      </c>
      <c r="E16" s="1187">
        <f>SUM(E17:E18)</f>
        <v>97806.130999999994</v>
      </c>
      <c r="F16" s="1197">
        <f>SUM(F17:F18)</f>
        <v>97806.130999999994</v>
      </c>
      <c r="G16" s="642">
        <f>SUM(G17:G18)</f>
        <v>728</v>
      </c>
      <c r="H16" s="642">
        <f>SUM(H17:H18)</f>
        <v>0</v>
      </c>
      <c r="I16" s="640">
        <f t="shared" ref="I16:J22" si="7">+E16+G16</f>
        <v>98534.130999999994</v>
      </c>
      <c r="J16" s="640">
        <f t="shared" si="7"/>
        <v>97806.130999999994</v>
      </c>
      <c r="K16" s="642">
        <v>0</v>
      </c>
      <c r="L16" s="1092">
        <f>SUM(L17:L18)</f>
        <v>0</v>
      </c>
      <c r="M16" s="1092">
        <f>SUM(M17:M18)</f>
        <v>3422.6991800000001</v>
      </c>
      <c r="N16" s="1092">
        <f>SUM(N17:N18)</f>
        <v>1000</v>
      </c>
      <c r="O16" s="1204">
        <f>SUM(O17:O18)</f>
        <v>0</v>
      </c>
      <c r="P16" s="1093"/>
      <c r="Q16" s="1094">
        <f>SUM(Q17:Q18)</f>
        <v>0</v>
      </c>
      <c r="R16" s="662">
        <f t="shared" ref="R16:R22" si="8">J16+Q16</f>
        <v>97806.130999999994</v>
      </c>
      <c r="T16" s="124">
        <f t="shared" si="3"/>
        <v>11.998186160053718</v>
      </c>
    </row>
    <row r="17" spans="1:20" s="124" customFormat="1" ht="12.75" customHeight="1" x14ac:dyDescent="0.25">
      <c r="A17" s="49">
        <f t="shared" si="4"/>
        <v>11</v>
      </c>
      <c r="B17" s="483"/>
      <c r="C17" s="484"/>
      <c r="D17" s="485" t="s">
        <v>1217</v>
      </c>
      <c r="E17" s="1187">
        <v>0</v>
      </c>
      <c r="F17" s="1187">
        <v>0</v>
      </c>
      <c r="G17" s="978">
        <v>0</v>
      </c>
      <c r="H17" s="978">
        <v>0</v>
      </c>
      <c r="I17" s="640">
        <f>+E17+G17</f>
        <v>0</v>
      </c>
      <c r="J17" s="640">
        <f>+F17+H17</f>
        <v>0</v>
      </c>
      <c r="K17" s="642">
        <v>0</v>
      </c>
      <c r="L17" s="1092">
        <v>0</v>
      </c>
      <c r="M17" s="1092">
        <v>0</v>
      </c>
      <c r="N17" s="1092">
        <v>0</v>
      </c>
      <c r="O17" s="1204">
        <v>0</v>
      </c>
      <c r="P17" s="1093">
        <v>0</v>
      </c>
      <c r="Q17" s="1094">
        <v>0</v>
      </c>
      <c r="R17" s="662">
        <f t="shared" si="8"/>
        <v>0</v>
      </c>
      <c r="T17" s="124">
        <f t="shared" si="3"/>
        <v>2.2480391539581071</v>
      </c>
    </row>
    <row r="18" spans="1:20" s="124" customFormat="1" ht="12.75" customHeight="1" x14ac:dyDescent="0.25">
      <c r="A18" s="49">
        <f t="shared" si="4"/>
        <v>12</v>
      </c>
      <c r="B18" s="483"/>
      <c r="C18" s="484"/>
      <c r="D18" s="485" t="s">
        <v>1218</v>
      </c>
      <c r="E18" s="1187">
        <v>97806.130999999994</v>
      </c>
      <c r="F18" s="1187">
        <v>97806.130999999994</v>
      </c>
      <c r="G18" s="978">
        <v>728</v>
      </c>
      <c r="H18" s="978">
        <v>0</v>
      </c>
      <c r="I18" s="640">
        <f>+E18+G18</f>
        <v>98534.130999999994</v>
      </c>
      <c r="J18" s="640">
        <f>+F18+H18</f>
        <v>97806.130999999994</v>
      </c>
      <c r="K18" s="642">
        <v>0</v>
      </c>
      <c r="L18" s="1092">
        <v>0</v>
      </c>
      <c r="M18" s="1092">
        <v>3422.6991800000001</v>
      </c>
      <c r="N18" s="1092">
        <v>1000</v>
      </c>
      <c r="O18" s="1204">
        <v>0</v>
      </c>
      <c r="P18" s="1093"/>
      <c r="Q18" s="1094">
        <v>0</v>
      </c>
      <c r="R18" s="662">
        <f t="shared" si="8"/>
        <v>97806.130999999994</v>
      </c>
      <c r="T18" s="124">
        <f t="shared" si="3"/>
        <v>0</v>
      </c>
    </row>
    <row r="19" spans="1:20" s="123" customFormat="1" ht="12.75" customHeight="1" x14ac:dyDescent="0.25">
      <c r="A19" s="49">
        <f t="shared" si="4"/>
        <v>13</v>
      </c>
      <c r="B19" s="469"/>
      <c r="C19" s="482"/>
      <c r="D19" s="485" t="s">
        <v>978</v>
      </c>
      <c r="E19" s="1187">
        <v>31105.116000000002</v>
      </c>
      <c r="F19" s="1187">
        <v>31104.544000000002</v>
      </c>
      <c r="G19" s="978">
        <v>0</v>
      </c>
      <c r="H19" s="978">
        <v>0</v>
      </c>
      <c r="I19" s="640">
        <f t="shared" si="7"/>
        <v>31105.116000000002</v>
      </c>
      <c r="J19" s="640">
        <f t="shared" si="7"/>
        <v>31104.544000000002</v>
      </c>
      <c r="K19" s="642">
        <v>0</v>
      </c>
      <c r="L19" s="1092">
        <v>4105.5050000000001</v>
      </c>
      <c r="M19" s="1092">
        <v>825.78197</v>
      </c>
      <c r="N19" s="1092">
        <v>0.57199999999999995</v>
      </c>
      <c r="O19" s="1204">
        <v>0.57199999999999995</v>
      </c>
      <c r="P19" s="1093">
        <v>0</v>
      </c>
      <c r="Q19" s="1094">
        <v>0</v>
      </c>
      <c r="R19" s="662">
        <f t="shared" si="8"/>
        <v>31104.544000000002</v>
      </c>
      <c r="T19" s="124">
        <f t="shared" si="3"/>
        <v>2.2480391539581071</v>
      </c>
    </row>
    <row r="20" spans="1:20" s="124" customFormat="1" ht="12.75" customHeight="1" x14ac:dyDescent="0.25">
      <c r="A20" s="49">
        <f t="shared" si="4"/>
        <v>14</v>
      </c>
      <c r="B20" s="469"/>
      <c r="C20" s="484"/>
      <c r="D20" s="485" t="s">
        <v>979</v>
      </c>
      <c r="E20" s="1187">
        <v>274206.995</v>
      </c>
      <c r="F20" s="1187">
        <v>274207.03899999999</v>
      </c>
      <c r="G20" s="978">
        <v>0</v>
      </c>
      <c r="H20" s="978">
        <v>0</v>
      </c>
      <c r="I20" s="640">
        <f t="shared" si="7"/>
        <v>274206.995</v>
      </c>
      <c r="J20" s="640">
        <f t="shared" si="7"/>
        <v>274207.03899999999</v>
      </c>
      <c r="K20" s="642">
        <v>0</v>
      </c>
      <c r="L20" s="1092">
        <v>478.26300000000003</v>
      </c>
      <c r="M20" s="1092">
        <v>5278.29475</v>
      </c>
      <c r="N20" s="1092">
        <v>0</v>
      </c>
      <c r="O20" s="1204">
        <v>0</v>
      </c>
      <c r="P20" s="1093"/>
      <c r="Q20" s="1094">
        <v>7.7692500000000004</v>
      </c>
      <c r="R20" s="662">
        <f t="shared" si="8"/>
        <v>274214.80825</v>
      </c>
      <c r="T20" s="124">
        <f t="shared" si="3"/>
        <v>0.70965784085931383</v>
      </c>
    </row>
    <row r="21" spans="1:20" s="124" customFormat="1" ht="12.75" customHeight="1" x14ac:dyDescent="0.25">
      <c r="A21" s="49">
        <f t="shared" si="4"/>
        <v>15</v>
      </c>
      <c r="B21" s="469"/>
      <c r="C21" s="484"/>
      <c r="D21" s="485" t="s">
        <v>980</v>
      </c>
      <c r="E21" s="1187">
        <v>122048</v>
      </c>
      <c r="F21" s="1187">
        <v>122048</v>
      </c>
      <c r="G21" s="978">
        <v>0</v>
      </c>
      <c r="H21" s="978">
        <v>0</v>
      </c>
      <c r="I21" s="640">
        <f>+E21+G21</f>
        <v>122048</v>
      </c>
      <c r="J21" s="640">
        <f>+F21+H21</f>
        <v>122048</v>
      </c>
      <c r="K21" s="642">
        <v>0</v>
      </c>
      <c r="L21" s="1092">
        <v>42444</v>
      </c>
      <c r="M21" s="1092">
        <v>2568.37907</v>
      </c>
      <c r="N21" s="1092">
        <v>8360</v>
      </c>
      <c r="O21" s="1204">
        <v>0</v>
      </c>
      <c r="P21" s="1093">
        <v>0</v>
      </c>
      <c r="Q21" s="1094">
        <v>0</v>
      </c>
      <c r="R21" s="662">
        <f t="shared" si="8"/>
        <v>122048</v>
      </c>
      <c r="T21" s="124">
        <f t="shared" si="3"/>
        <v>6.2559851575612404</v>
      </c>
    </row>
    <row r="22" spans="1:20" s="124" customFormat="1" ht="12.75" hidden="1" customHeight="1" x14ac:dyDescent="0.25">
      <c r="A22" s="49"/>
      <c r="B22" s="469"/>
      <c r="C22" s="484"/>
      <c r="D22" s="485"/>
      <c r="E22" s="1187"/>
      <c r="F22" s="1187"/>
      <c r="G22" s="978"/>
      <c r="H22" s="978"/>
      <c r="I22" s="640">
        <f t="shared" si="7"/>
        <v>0</v>
      </c>
      <c r="J22" s="640">
        <f t="shared" si="7"/>
        <v>0</v>
      </c>
      <c r="K22" s="642"/>
      <c r="L22" s="1092"/>
      <c r="M22" s="1092"/>
      <c r="N22" s="1092"/>
      <c r="O22" s="1204"/>
      <c r="P22" s="1093"/>
      <c r="Q22" s="1094"/>
      <c r="R22" s="662">
        <f t="shared" si="8"/>
        <v>0</v>
      </c>
      <c r="T22" s="124">
        <f t="shared" si="3"/>
        <v>2.7845040076750571</v>
      </c>
    </row>
    <row r="23" spans="1:20" s="124" customFormat="1" ht="13.5" customHeight="1" x14ac:dyDescent="0.25">
      <c r="A23" s="486">
        <f>A21+1</f>
        <v>16</v>
      </c>
      <c r="B23" s="468">
        <v>19</v>
      </c>
      <c r="C23" s="920" t="s">
        <v>555</v>
      </c>
      <c r="D23" s="921"/>
      <c r="E23" s="635">
        <f t="shared" ref="E23:J23" si="9">E24+E32</f>
        <v>1190554.91295</v>
      </c>
      <c r="F23" s="636">
        <f t="shared" si="9"/>
        <v>1175563.2205700001</v>
      </c>
      <c r="G23" s="636">
        <f t="shared" si="9"/>
        <v>5854.933</v>
      </c>
      <c r="H23" s="636">
        <f t="shared" si="9"/>
        <v>5854.933</v>
      </c>
      <c r="I23" s="636">
        <f t="shared" si="9"/>
        <v>1196409.84595</v>
      </c>
      <c r="J23" s="636">
        <f t="shared" si="9"/>
        <v>1181418.1535700001</v>
      </c>
      <c r="K23" s="636">
        <v>0</v>
      </c>
      <c r="L23" s="636">
        <f>L24+L32</f>
        <v>154538.21544999999</v>
      </c>
      <c r="M23" s="636">
        <f>M24+M32</f>
        <v>22214.6891</v>
      </c>
      <c r="N23" s="636">
        <f>N24+N32</f>
        <v>10399.62329</v>
      </c>
      <c r="O23" s="639">
        <f>O24+O32</f>
        <v>2216.3021899999999</v>
      </c>
      <c r="P23" s="625"/>
      <c r="Q23" s="638">
        <f>Q24+Q32</f>
        <v>6.4119999999999999</v>
      </c>
      <c r="R23" s="637">
        <f>R24+R32</f>
        <v>1181424.5655699999</v>
      </c>
      <c r="T23" s="124">
        <f t="shared" si="3"/>
        <v>0</v>
      </c>
    </row>
    <row r="24" spans="1:20" s="124" customFormat="1" ht="12.75" customHeight="1" x14ac:dyDescent="0.25">
      <c r="A24" s="49">
        <f t="shared" si="4"/>
        <v>17</v>
      </c>
      <c r="B24" s="469"/>
      <c r="C24" s="484"/>
      <c r="D24" s="921" t="s">
        <v>803</v>
      </c>
      <c r="E24" s="635">
        <f t="shared" ref="E24:J24" si="10">SUM(E25:E31)</f>
        <v>42180.379000000001</v>
      </c>
      <c r="F24" s="636">
        <f t="shared" si="10"/>
        <v>42043.685400000002</v>
      </c>
      <c r="G24" s="636">
        <f t="shared" si="10"/>
        <v>0</v>
      </c>
      <c r="H24" s="636">
        <f t="shared" si="10"/>
        <v>0</v>
      </c>
      <c r="I24" s="636">
        <f t="shared" si="10"/>
        <v>42180.379000000001</v>
      </c>
      <c r="J24" s="636">
        <f t="shared" si="10"/>
        <v>42043.685400000002</v>
      </c>
      <c r="K24" s="636">
        <v>0</v>
      </c>
      <c r="L24" s="636">
        <f>SUM(L25:L31)</f>
        <v>3568</v>
      </c>
      <c r="M24" s="636">
        <f>SUM(M25:M31)</f>
        <v>276.64201000000003</v>
      </c>
      <c r="N24" s="636">
        <f>SUM(N25:N31)</f>
        <v>34.032559999999997</v>
      </c>
      <c r="O24" s="639">
        <f>SUM(O25:O31)</f>
        <v>0</v>
      </c>
      <c r="P24" s="625"/>
      <c r="Q24" s="638">
        <f>SUM(Q25:Q31)</f>
        <v>0</v>
      </c>
      <c r="R24" s="639">
        <f>SUM(R25:R31)</f>
        <v>42043.685400000002</v>
      </c>
      <c r="T24" s="124">
        <f t="shared" si="3"/>
        <v>27.295883675846163</v>
      </c>
    </row>
    <row r="25" spans="1:20" s="124" customFormat="1" ht="12.75" customHeight="1" x14ac:dyDescent="0.25">
      <c r="A25" s="49">
        <f t="shared" si="4"/>
        <v>18</v>
      </c>
      <c r="B25" s="469"/>
      <c r="C25" s="482"/>
      <c r="D25" s="133" t="s">
        <v>804</v>
      </c>
      <c r="E25" s="1187">
        <v>15389</v>
      </c>
      <c r="F25" s="1187">
        <v>15363.80796</v>
      </c>
      <c r="G25" s="978">
        <v>0</v>
      </c>
      <c r="H25" s="978">
        <v>0</v>
      </c>
      <c r="I25" s="640">
        <f t="shared" ref="I25:J38" si="11">+E25+G25</f>
        <v>15389</v>
      </c>
      <c r="J25" s="640">
        <f t="shared" si="11"/>
        <v>15363.80796</v>
      </c>
      <c r="K25" s="125">
        <v>0</v>
      </c>
      <c r="L25" s="125">
        <v>0</v>
      </c>
      <c r="M25" s="125">
        <v>234.678</v>
      </c>
      <c r="N25" s="125">
        <v>0</v>
      </c>
      <c r="O25" s="1202">
        <v>0</v>
      </c>
      <c r="P25" s="625">
        <v>0</v>
      </c>
      <c r="Q25" s="834">
        <v>0</v>
      </c>
      <c r="R25" s="662">
        <f t="shared" ref="R25:R38" si="12">+J25+Q25</f>
        <v>15363.80796</v>
      </c>
      <c r="T25" s="124">
        <f t="shared" si="3"/>
        <v>0.9623380503634047</v>
      </c>
    </row>
    <row r="26" spans="1:20" s="124" customFormat="1" ht="12.75" customHeight="1" x14ac:dyDescent="0.25">
      <c r="A26" s="49">
        <f t="shared" si="4"/>
        <v>19</v>
      </c>
      <c r="B26" s="469"/>
      <c r="C26" s="482"/>
      <c r="D26" s="133" t="s">
        <v>805</v>
      </c>
      <c r="E26" s="1187">
        <v>0</v>
      </c>
      <c r="F26" s="978">
        <v>0</v>
      </c>
      <c r="G26" s="978">
        <v>0</v>
      </c>
      <c r="H26" s="978">
        <v>0</v>
      </c>
      <c r="I26" s="640">
        <f t="shared" si="11"/>
        <v>0</v>
      </c>
      <c r="J26" s="640">
        <f t="shared" si="11"/>
        <v>0</v>
      </c>
      <c r="K26" s="125">
        <v>0</v>
      </c>
      <c r="L26" s="125">
        <v>0</v>
      </c>
      <c r="M26" s="125">
        <v>0</v>
      </c>
      <c r="N26" s="125">
        <v>0</v>
      </c>
      <c r="O26" s="1202">
        <v>0</v>
      </c>
      <c r="P26" s="625"/>
      <c r="Q26" s="834">
        <v>0</v>
      </c>
      <c r="R26" s="662">
        <f t="shared" si="12"/>
        <v>0</v>
      </c>
      <c r="T26" s="124">
        <f t="shared" si="3"/>
        <v>0.35109737295253879</v>
      </c>
    </row>
    <row r="27" spans="1:20" s="124" customFormat="1" ht="12.75" customHeight="1" x14ac:dyDescent="0.25">
      <c r="A27" s="49">
        <f>A26+1</f>
        <v>20</v>
      </c>
      <c r="B27" s="469"/>
      <c r="C27" s="482"/>
      <c r="D27" s="133" t="s">
        <v>1305</v>
      </c>
      <c r="E27" s="1187">
        <v>0</v>
      </c>
      <c r="F27" s="978">
        <v>0</v>
      </c>
      <c r="G27" s="978">
        <v>0</v>
      </c>
      <c r="H27" s="978">
        <v>0</v>
      </c>
      <c r="I27" s="640">
        <f t="shared" ref="I27" si="13">+E27+G27</f>
        <v>0</v>
      </c>
      <c r="J27" s="640">
        <f t="shared" ref="J27" si="14">+F27+H27</f>
        <v>0</v>
      </c>
      <c r="K27" s="125">
        <v>0</v>
      </c>
      <c r="L27" s="125">
        <v>0</v>
      </c>
      <c r="M27" s="125">
        <v>0</v>
      </c>
      <c r="N27" s="125">
        <v>0</v>
      </c>
      <c r="O27" s="1202">
        <v>0</v>
      </c>
      <c r="P27" s="625"/>
      <c r="Q27" s="834">
        <v>0</v>
      </c>
      <c r="R27" s="662">
        <f t="shared" si="12"/>
        <v>0</v>
      </c>
      <c r="T27" s="124">
        <f t="shared" si="3"/>
        <v>0</v>
      </c>
    </row>
    <row r="28" spans="1:20" s="124" customFormat="1" ht="12.75" customHeight="1" x14ac:dyDescent="0.25">
      <c r="A28" s="49">
        <f>A27+1</f>
        <v>21</v>
      </c>
      <c r="B28" s="469"/>
      <c r="C28" s="482"/>
      <c r="D28" s="133" t="s">
        <v>806</v>
      </c>
      <c r="E28" s="1187">
        <v>15278.084999999999</v>
      </c>
      <c r="F28" s="1187">
        <v>15200.616</v>
      </c>
      <c r="G28" s="978">
        <v>0</v>
      </c>
      <c r="H28" s="978">
        <v>0</v>
      </c>
      <c r="I28" s="640">
        <f t="shared" si="11"/>
        <v>15278.084999999999</v>
      </c>
      <c r="J28" s="640">
        <f t="shared" si="11"/>
        <v>15200.616</v>
      </c>
      <c r="K28" s="125">
        <v>0</v>
      </c>
      <c r="L28" s="125">
        <v>3568</v>
      </c>
      <c r="M28" s="125">
        <v>41.964010000000002</v>
      </c>
      <c r="N28" s="125">
        <v>0</v>
      </c>
      <c r="O28" s="1202">
        <v>0</v>
      </c>
      <c r="P28" s="625"/>
      <c r="Q28" s="834">
        <v>0</v>
      </c>
      <c r="R28" s="662">
        <f t="shared" si="12"/>
        <v>15200.616</v>
      </c>
      <c r="T28" s="124">
        <f t="shared" si="3"/>
        <v>0</v>
      </c>
    </row>
    <row r="29" spans="1:20" s="124" customFormat="1" ht="12.75" customHeight="1" x14ac:dyDescent="0.25">
      <c r="A29" s="49">
        <f>A28+1</f>
        <v>22</v>
      </c>
      <c r="B29" s="469"/>
      <c r="C29" s="482"/>
      <c r="D29" s="133" t="s">
        <v>1070</v>
      </c>
      <c r="E29" s="978">
        <v>0</v>
      </c>
      <c r="F29" s="978">
        <v>0</v>
      </c>
      <c r="G29" s="978">
        <v>0</v>
      </c>
      <c r="H29" s="978">
        <v>0</v>
      </c>
      <c r="I29" s="640">
        <f t="shared" si="11"/>
        <v>0</v>
      </c>
      <c r="J29" s="640">
        <f t="shared" si="11"/>
        <v>0</v>
      </c>
      <c r="K29" s="125">
        <v>0</v>
      </c>
      <c r="L29" s="125">
        <v>0</v>
      </c>
      <c r="M29" s="125">
        <v>0</v>
      </c>
      <c r="N29" s="125">
        <v>0</v>
      </c>
      <c r="O29" s="1202">
        <v>0</v>
      </c>
      <c r="P29" s="625"/>
      <c r="Q29" s="834">
        <v>0</v>
      </c>
      <c r="R29" s="662">
        <f t="shared" si="12"/>
        <v>0</v>
      </c>
      <c r="T29" s="124">
        <f t="shared" si="3"/>
        <v>0.34856686641403523</v>
      </c>
    </row>
    <row r="30" spans="1:20" s="124" customFormat="1" ht="12.75" customHeight="1" x14ac:dyDescent="0.25">
      <c r="A30" s="49">
        <f t="shared" si="4"/>
        <v>23</v>
      </c>
      <c r="B30" s="469"/>
      <c r="C30" s="482"/>
      <c r="D30" s="133" t="s">
        <v>1160</v>
      </c>
      <c r="E30" s="1187">
        <v>11513.294</v>
      </c>
      <c r="F30" s="1187">
        <v>11479.26144</v>
      </c>
      <c r="G30" s="978">
        <v>0</v>
      </c>
      <c r="H30" s="978">
        <v>0</v>
      </c>
      <c r="I30" s="640">
        <f t="shared" si="11"/>
        <v>11513.294</v>
      </c>
      <c r="J30" s="640">
        <f t="shared" si="11"/>
        <v>11479.26144</v>
      </c>
      <c r="K30" s="125">
        <v>0</v>
      </c>
      <c r="L30" s="125">
        <v>0</v>
      </c>
      <c r="M30" s="125">
        <v>0</v>
      </c>
      <c r="N30" s="125">
        <v>34.032559999999997</v>
      </c>
      <c r="O30" s="1202">
        <v>0</v>
      </c>
      <c r="P30" s="625"/>
      <c r="Q30" s="834">
        <v>0</v>
      </c>
      <c r="R30" s="662">
        <f t="shared" si="12"/>
        <v>11479.26144</v>
      </c>
      <c r="T30" s="124">
        <f t="shared" si="3"/>
        <v>0</v>
      </c>
    </row>
    <row r="31" spans="1:20" s="124" customFormat="1" ht="12.75" customHeight="1" x14ac:dyDescent="0.25">
      <c r="A31" s="49">
        <f t="shared" si="4"/>
        <v>24</v>
      </c>
      <c r="B31" s="469"/>
      <c r="C31" s="482"/>
      <c r="D31" s="133" t="s">
        <v>1100</v>
      </c>
      <c r="E31" s="978">
        <v>0</v>
      </c>
      <c r="F31" s="978">
        <v>0</v>
      </c>
      <c r="G31" s="978">
        <v>0</v>
      </c>
      <c r="H31" s="978">
        <v>0</v>
      </c>
      <c r="I31" s="640">
        <f>+E31+G31</f>
        <v>0</v>
      </c>
      <c r="J31" s="640">
        <f t="shared" si="11"/>
        <v>0</v>
      </c>
      <c r="K31" s="125">
        <v>0</v>
      </c>
      <c r="L31" s="125">
        <v>0</v>
      </c>
      <c r="M31" s="125">
        <v>0</v>
      </c>
      <c r="N31" s="125">
        <v>0</v>
      </c>
      <c r="O31" s="1202">
        <v>0</v>
      </c>
      <c r="P31" s="625"/>
      <c r="Q31" s="834">
        <v>0</v>
      </c>
      <c r="R31" s="662">
        <f t="shared" si="12"/>
        <v>0</v>
      </c>
      <c r="T31" s="124">
        <f t="shared" si="3"/>
        <v>0.26267381099683063</v>
      </c>
    </row>
    <row r="32" spans="1:20" s="124" customFormat="1" ht="12.75" customHeight="1" x14ac:dyDescent="0.25">
      <c r="A32" s="49">
        <f t="shared" si="4"/>
        <v>25</v>
      </c>
      <c r="B32" s="487"/>
      <c r="C32" s="488"/>
      <c r="D32" s="921" t="s">
        <v>807</v>
      </c>
      <c r="E32" s="980">
        <f t="shared" ref="E32:J32" si="15">E33+E37+E38</f>
        <v>1148374.5339500001</v>
      </c>
      <c r="F32" s="980">
        <f t="shared" si="15"/>
        <v>1133519.53517</v>
      </c>
      <c r="G32" s="980">
        <f t="shared" si="15"/>
        <v>5854.933</v>
      </c>
      <c r="H32" s="980">
        <f t="shared" si="15"/>
        <v>5854.933</v>
      </c>
      <c r="I32" s="980">
        <f t="shared" si="15"/>
        <v>1154229.46695</v>
      </c>
      <c r="J32" s="980">
        <f t="shared" si="15"/>
        <v>1139374.46817</v>
      </c>
      <c r="K32" s="980">
        <v>0</v>
      </c>
      <c r="L32" s="980">
        <f>L33+L37+L38</f>
        <v>150970.21544999999</v>
      </c>
      <c r="M32" s="980">
        <f>M33+M37+M38</f>
        <v>21938.04709</v>
      </c>
      <c r="N32" s="980">
        <f>N33+N37+N38</f>
        <v>10365.59073</v>
      </c>
      <c r="O32" s="1205">
        <f>O33+O37+O38</f>
        <v>2216.3021899999999</v>
      </c>
      <c r="P32" s="625"/>
      <c r="Q32" s="982">
        <f>Q33+Q37+Q38</f>
        <v>6.4119999999999999</v>
      </c>
      <c r="R32" s="981">
        <f>R33+R37+R38</f>
        <v>1139380.8801699998</v>
      </c>
      <c r="T32" s="124">
        <f>I32*100/$I$49</f>
        <v>26.33354562548276</v>
      </c>
    </row>
    <row r="33" spans="1:20" s="124" customFormat="1" ht="12.75" customHeight="1" x14ac:dyDescent="0.25">
      <c r="A33" s="49">
        <f t="shared" si="4"/>
        <v>26</v>
      </c>
      <c r="B33" s="469"/>
      <c r="C33" s="484"/>
      <c r="D33" s="133" t="s">
        <v>808</v>
      </c>
      <c r="E33" s="1186">
        <f>SUM(E34:E36)</f>
        <v>800525.53185999999</v>
      </c>
      <c r="F33" s="1186">
        <f>SUM(F34:F36)</f>
        <v>795583.04449999996</v>
      </c>
      <c r="G33" s="1186">
        <f t="shared" ref="G33:H33" si="16">SUM(G34:G36)</f>
        <v>5854.933</v>
      </c>
      <c r="H33" s="1186">
        <f t="shared" si="16"/>
        <v>5854.933</v>
      </c>
      <c r="I33" s="640">
        <f t="shared" si="11"/>
        <v>806380.46485999995</v>
      </c>
      <c r="J33" s="640">
        <f t="shared" si="11"/>
        <v>801437.97749999992</v>
      </c>
      <c r="K33" s="125">
        <v>0</v>
      </c>
      <c r="L33" s="125">
        <f>SUM(L34:L36)</f>
        <v>62769.9038</v>
      </c>
      <c r="M33" s="125">
        <f>SUM(M34:M36)</f>
        <v>17281.64028</v>
      </c>
      <c r="N33" s="125">
        <f>SUM(N34:N36)</f>
        <v>3405.4390899999999</v>
      </c>
      <c r="O33" s="1202">
        <f>SUM(O34:O36)</f>
        <v>1892.9317899999999</v>
      </c>
      <c r="P33" s="625"/>
      <c r="Q33" s="834">
        <f>SUM(Q34:Q36)</f>
        <v>4.0000000000000001E-3</v>
      </c>
      <c r="R33" s="662">
        <f t="shared" si="12"/>
        <v>801437.98149999988</v>
      </c>
      <c r="T33" s="124">
        <f t="shared" si="3"/>
        <v>26.33354562548276</v>
      </c>
    </row>
    <row r="34" spans="1:20" s="124" customFormat="1" ht="12.75" customHeight="1" x14ac:dyDescent="0.25">
      <c r="A34" s="49">
        <f t="shared" si="4"/>
        <v>27</v>
      </c>
      <c r="B34" s="469"/>
      <c r="C34" s="484"/>
      <c r="D34" s="485" t="s">
        <v>1214</v>
      </c>
      <c r="E34" s="822">
        <v>47108</v>
      </c>
      <c r="F34" s="822">
        <v>47327.505019999997</v>
      </c>
      <c r="G34" s="822">
        <v>3570</v>
      </c>
      <c r="H34" s="822">
        <v>3570</v>
      </c>
      <c r="I34" s="640">
        <f t="shared" ref="I34:J36" si="17">+E34+G34</f>
        <v>50678</v>
      </c>
      <c r="J34" s="640">
        <f t="shared" si="17"/>
        <v>50897.505019999997</v>
      </c>
      <c r="K34" s="125">
        <v>0</v>
      </c>
      <c r="L34" s="125">
        <v>3802</v>
      </c>
      <c r="M34" s="125">
        <v>1355.0690399999999</v>
      </c>
      <c r="N34" s="125">
        <v>0</v>
      </c>
      <c r="O34" s="1202">
        <v>0</v>
      </c>
      <c r="P34" s="625"/>
      <c r="Q34" s="834">
        <v>0</v>
      </c>
      <c r="R34" s="662">
        <f t="shared" si="12"/>
        <v>50897.505019999997</v>
      </c>
      <c r="T34" s="124">
        <f t="shared" si="3"/>
        <v>18.397430815036259</v>
      </c>
    </row>
    <row r="35" spans="1:20" s="124" customFormat="1" ht="12.75" customHeight="1" x14ac:dyDescent="0.25">
      <c r="A35" s="49">
        <f t="shared" si="4"/>
        <v>28</v>
      </c>
      <c r="B35" s="469"/>
      <c r="C35" s="484"/>
      <c r="D35" s="485" t="s">
        <v>1215</v>
      </c>
      <c r="E35" s="1186">
        <v>81370.053370000009</v>
      </c>
      <c r="F35" s="1186">
        <v>83208.574399999998</v>
      </c>
      <c r="G35" s="822">
        <v>0</v>
      </c>
      <c r="H35" s="822">
        <v>0</v>
      </c>
      <c r="I35" s="640">
        <f t="shared" si="17"/>
        <v>81370.053370000009</v>
      </c>
      <c r="J35" s="640">
        <f t="shared" si="17"/>
        <v>83208.574399999998</v>
      </c>
      <c r="K35" s="125">
        <v>0</v>
      </c>
      <c r="L35" s="125">
        <v>1080</v>
      </c>
      <c r="M35" s="125">
        <v>2470.9376400000001</v>
      </c>
      <c r="N35" s="125">
        <v>1313.0526600000001</v>
      </c>
      <c r="O35" s="1202">
        <v>13</v>
      </c>
      <c r="P35" s="625"/>
      <c r="Q35" s="834">
        <v>0</v>
      </c>
      <c r="R35" s="662">
        <f t="shared" si="12"/>
        <v>83208.574399999998</v>
      </c>
      <c r="T35" s="124">
        <f t="shared" si="3"/>
        <v>1.1562098035277639</v>
      </c>
    </row>
    <row r="36" spans="1:20" s="124" customFormat="1" ht="12.75" customHeight="1" x14ac:dyDescent="0.25">
      <c r="A36" s="49">
        <f t="shared" si="4"/>
        <v>29</v>
      </c>
      <c r="B36" s="469"/>
      <c r="C36" s="484"/>
      <c r="D36" s="485" t="s">
        <v>1216</v>
      </c>
      <c r="E36" s="822">
        <v>672047.47849000001</v>
      </c>
      <c r="F36" s="822">
        <v>665046.96507999999</v>
      </c>
      <c r="G36" s="822">
        <v>2284.933</v>
      </c>
      <c r="H36" s="822">
        <v>2284.933</v>
      </c>
      <c r="I36" s="640">
        <f t="shared" si="17"/>
        <v>674332.41148999997</v>
      </c>
      <c r="J36" s="640">
        <f t="shared" si="17"/>
        <v>667331.89807999996</v>
      </c>
      <c r="K36" s="125">
        <v>0</v>
      </c>
      <c r="L36" s="125">
        <v>57887.9038</v>
      </c>
      <c r="M36" s="125">
        <v>13455.633599999999</v>
      </c>
      <c r="N36" s="125">
        <v>2092.38643</v>
      </c>
      <c r="O36" s="1202">
        <v>1879.9317899999999</v>
      </c>
      <c r="P36" s="625"/>
      <c r="Q36" s="834">
        <v>4.0000000000000001E-3</v>
      </c>
      <c r="R36" s="662">
        <f t="shared" si="12"/>
        <v>667331.90207999991</v>
      </c>
      <c r="T36" s="124">
        <f t="shared" si="3"/>
        <v>1.8564436919367651</v>
      </c>
    </row>
    <row r="37" spans="1:20" s="123" customFormat="1" ht="12.75" customHeight="1" x14ac:dyDescent="0.25">
      <c r="A37" s="49">
        <f t="shared" si="4"/>
        <v>30</v>
      </c>
      <c r="B37" s="469"/>
      <c r="C37" s="484"/>
      <c r="D37" s="133" t="s">
        <v>809</v>
      </c>
      <c r="E37" s="1186">
        <v>123166.01010000001</v>
      </c>
      <c r="F37" s="1186">
        <v>116057.50010999999</v>
      </c>
      <c r="G37" s="822">
        <v>0</v>
      </c>
      <c r="H37" s="822">
        <v>0</v>
      </c>
      <c r="I37" s="640">
        <f t="shared" si="11"/>
        <v>123166.01010000001</v>
      </c>
      <c r="J37" s="640">
        <f t="shared" si="11"/>
        <v>116057.50010999999</v>
      </c>
      <c r="K37" s="125">
        <v>0</v>
      </c>
      <c r="L37" s="125">
        <v>34423.240440000001</v>
      </c>
      <c r="M37" s="125">
        <v>1821.5823500000001</v>
      </c>
      <c r="N37" s="125">
        <v>6133.3675899999998</v>
      </c>
      <c r="O37" s="1202">
        <v>19.608049999999999</v>
      </c>
      <c r="P37" s="625"/>
      <c r="Q37" s="834">
        <v>0.08</v>
      </c>
      <c r="R37" s="662">
        <f t="shared" si="12"/>
        <v>116057.58011</v>
      </c>
    </row>
    <row r="38" spans="1:20" s="123" customFormat="1" ht="12.75" customHeight="1" x14ac:dyDescent="0.25">
      <c r="A38" s="49">
        <f t="shared" si="4"/>
        <v>31</v>
      </c>
      <c r="B38" s="469"/>
      <c r="C38" s="983"/>
      <c r="D38" s="133" t="s">
        <v>810</v>
      </c>
      <c r="E38" s="1186">
        <v>224682.99199000001</v>
      </c>
      <c r="F38" s="1186">
        <v>221878.99056000001</v>
      </c>
      <c r="G38" s="822">
        <v>0</v>
      </c>
      <c r="H38" s="822">
        <v>0</v>
      </c>
      <c r="I38" s="640">
        <f t="shared" si="11"/>
        <v>224682.99199000001</v>
      </c>
      <c r="J38" s="640">
        <f t="shared" si="11"/>
        <v>221878.99056000001</v>
      </c>
      <c r="K38" s="125">
        <v>0</v>
      </c>
      <c r="L38" s="125">
        <v>53777.071209999995</v>
      </c>
      <c r="M38" s="125">
        <v>2834.8244600000003</v>
      </c>
      <c r="N38" s="125">
        <v>826.78404999999998</v>
      </c>
      <c r="O38" s="1202">
        <v>303.76234999999997</v>
      </c>
      <c r="P38" s="625"/>
      <c r="Q38" s="834">
        <v>6.3280000000000003</v>
      </c>
      <c r="R38" s="662">
        <f t="shared" si="12"/>
        <v>221885.31856000001</v>
      </c>
    </row>
    <row r="39" spans="1:20" s="124" customFormat="1" ht="12.75" customHeight="1" x14ac:dyDescent="0.25">
      <c r="A39" s="486">
        <f t="shared" si="4"/>
        <v>32</v>
      </c>
      <c r="B39" s="468">
        <v>26</v>
      </c>
      <c r="C39" s="920" t="s">
        <v>553</v>
      </c>
      <c r="D39" s="921"/>
      <c r="E39" s="635">
        <f t="shared" ref="E39:Q39" si="18">+E40+E41</f>
        <v>1585</v>
      </c>
      <c r="F39" s="636">
        <f t="shared" si="18"/>
        <v>1532.6112699999999</v>
      </c>
      <c r="G39" s="636">
        <f t="shared" si="18"/>
        <v>5599</v>
      </c>
      <c r="H39" s="636">
        <f t="shared" si="18"/>
        <v>0</v>
      </c>
      <c r="I39" s="636">
        <f t="shared" si="18"/>
        <v>7184</v>
      </c>
      <c r="J39" s="636">
        <f t="shared" si="18"/>
        <v>1532.6112699999999</v>
      </c>
      <c r="K39" s="636">
        <v>0</v>
      </c>
      <c r="L39" s="636">
        <f t="shared" si="18"/>
        <v>0</v>
      </c>
      <c r="M39" s="636">
        <f t="shared" si="18"/>
        <v>112</v>
      </c>
      <c r="N39" s="636">
        <f t="shared" si="18"/>
        <v>52.388730000000002</v>
      </c>
      <c r="O39" s="639">
        <f t="shared" si="18"/>
        <v>0</v>
      </c>
      <c r="P39" s="625"/>
      <c r="Q39" s="638">
        <f t="shared" si="18"/>
        <v>0</v>
      </c>
      <c r="R39" s="979">
        <f>J39+Q39</f>
        <v>1532.6112699999999</v>
      </c>
    </row>
    <row r="40" spans="1:20" s="123" customFormat="1" ht="12.75" customHeight="1" x14ac:dyDescent="0.25">
      <c r="A40" s="49">
        <f t="shared" si="4"/>
        <v>33</v>
      </c>
      <c r="B40" s="469"/>
      <c r="C40" s="484"/>
      <c r="D40" s="133" t="s">
        <v>811</v>
      </c>
      <c r="E40" s="978">
        <v>585.9</v>
      </c>
      <c r="F40" s="978">
        <v>533.51126999999997</v>
      </c>
      <c r="G40" s="978">
        <v>5599</v>
      </c>
      <c r="H40" s="978">
        <v>0</v>
      </c>
      <c r="I40" s="640">
        <f>+E40+G40</f>
        <v>6184.9</v>
      </c>
      <c r="J40" s="640">
        <f>+F40+H40</f>
        <v>533.51126999999997</v>
      </c>
      <c r="K40" s="125">
        <v>0</v>
      </c>
      <c r="L40" s="125">
        <v>0</v>
      </c>
      <c r="M40" s="125">
        <v>0</v>
      </c>
      <c r="N40" s="125">
        <v>52.388730000000002</v>
      </c>
      <c r="O40" s="1202">
        <v>0</v>
      </c>
      <c r="P40" s="625"/>
      <c r="Q40" s="643">
        <v>0</v>
      </c>
      <c r="R40" s="662">
        <f>J40+Q40</f>
        <v>533.51126999999997</v>
      </c>
    </row>
    <row r="41" spans="1:20" s="123" customFormat="1" ht="12.75" customHeight="1" x14ac:dyDescent="0.25">
      <c r="A41" s="49">
        <f t="shared" si="4"/>
        <v>34</v>
      </c>
      <c r="B41" s="469"/>
      <c r="C41" s="482"/>
      <c r="D41" s="133" t="s">
        <v>812</v>
      </c>
      <c r="E41" s="978">
        <v>999.1</v>
      </c>
      <c r="F41" s="978">
        <v>999.1</v>
      </c>
      <c r="G41" s="978">
        <v>0</v>
      </c>
      <c r="H41" s="978">
        <v>0</v>
      </c>
      <c r="I41" s="640">
        <f>+E41+G41</f>
        <v>999.1</v>
      </c>
      <c r="J41" s="640">
        <f>+F41+H41</f>
        <v>999.1</v>
      </c>
      <c r="K41" s="125">
        <v>0</v>
      </c>
      <c r="L41" s="125">
        <v>0</v>
      </c>
      <c r="M41" s="125">
        <v>112</v>
      </c>
      <c r="N41" s="125">
        <v>0</v>
      </c>
      <c r="O41" s="1202">
        <v>0</v>
      </c>
      <c r="P41" s="625"/>
      <c r="Q41" s="643">
        <v>0</v>
      </c>
      <c r="R41" s="662">
        <f>J41+Q41</f>
        <v>999.1</v>
      </c>
    </row>
    <row r="42" spans="1:20" s="18" customFormat="1" ht="12.75" customHeight="1" x14ac:dyDescent="0.25">
      <c r="A42" s="486">
        <f t="shared" si="4"/>
        <v>35</v>
      </c>
      <c r="B42" s="468">
        <v>29</v>
      </c>
      <c r="C42" s="920" t="s">
        <v>981</v>
      </c>
      <c r="D42" s="921"/>
      <c r="E42" s="635">
        <f t="shared" ref="E42:J42" si="19">E43+E47</f>
        <v>252266.73113999999</v>
      </c>
      <c r="F42" s="636">
        <f t="shared" si="19"/>
        <v>255911.21464000002</v>
      </c>
      <c r="G42" s="636">
        <f t="shared" si="19"/>
        <v>1543.8544299999999</v>
      </c>
      <c r="H42" s="636">
        <f t="shared" si="19"/>
        <v>1543.8544299999999</v>
      </c>
      <c r="I42" s="636">
        <f t="shared" si="19"/>
        <v>253810.58557</v>
      </c>
      <c r="J42" s="636">
        <f t="shared" si="19"/>
        <v>257455.06907000003</v>
      </c>
      <c r="K42" s="636">
        <v>0</v>
      </c>
      <c r="L42" s="636">
        <f>L43+L47</f>
        <v>486.31074999999998</v>
      </c>
      <c r="M42" s="636">
        <f>M43+M47</f>
        <v>60</v>
      </c>
      <c r="N42" s="636">
        <f>N43+N47</f>
        <v>0</v>
      </c>
      <c r="O42" s="639">
        <f>O43+O47</f>
        <v>0</v>
      </c>
      <c r="P42" s="625"/>
      <c r="Q42" s="638">
        <f>Q43+Q47</f>
        <v>820.73800000000006</v>
      </c>
      <c r="R42" s="979">
        <f>R43+R47</f>
        <v>258275.80707000004</v>
      </c>
    </row>
    <row r="43" spans="1:20" s="18" customFormat="1" ht="12.75" customHeight="1" x14ac:dyDescent="0.25">
      <c r="A43" s="49">
        <f t="shared" si="4"/>
        <v>36</v>
      </c>
      <c r="B43" s="469"/>
      <c r="C43" s="984"/>
      <c r="D43" s="921" t="s">
        <v>982</v>
      </c>
      <c r="E43" s="635">
        <f>E44+E45+E46</f>
        <v>239983.63128</v>
      </c>
      <c r="F43" s="636">
        <f t="shared" ref="F43:O43" si="20">F44+F45+F46</f>
        <v>243628.34178000002</v>
      </c>
      <c r="G43" s="636">
        <f t="shared" si="20"/>
        <v>1543.8544299999999</v>
      </c>
      <c r="H43" s="636">
        <f t="shared" si="20"/>
        <v>1543.8544299999999</v>
      </c>
      <c r="I43" s="636">
        <f t="shared" si="20"/>
        <v>241527.48571000001</v>
      </c>
      <c r="J43" s="636">
        <f t="shared" si="20"/>
        <v>245172.19621000002</v>
      </c>
      <c r="K43" s="636">
        <v>0</v>
      </c>
      <c r="L43" s="636">
        <f t="shared" si="20"/>
        <v>486.31074999999998</v>
      </c>
      <c r="M43" s="636">
        <f t="shared" si="20"/>
        <v>60</v>
      </c>
      <c r="N43" s="636">
        <f t="shared" si="20"/>
        <v>0</v>
      </c>
      <c r="O43" s="639">
        <f t="shared" si="20"/>
        <v>0</v>
      </c>
      <c r="P43" s="625"/>
      <c r="Q43" s="638">
        <f>Q44+Q45+Q46</f>
        <v>820.73800000000006</v>
      </c>
      <c r="R43" s="639">
        <f>R44+R45+R46</f>
        <v>245992.93421000004</v>
      </c>
    </row>
    <row r="44" spans="1:20" ht="12.75" customHeight="1" x14ac:dyDescent="0.25">
      <c r="A44" s="49">
        <f t="shared" si="4"/>
        <v>37</v>
      </c>
      <c r="B44" s="469"/>
      <c r="C44" s="484"/>
      <c r="D44" s="133" t="s">
        <v>1219</v>
      </c>
      <c r="E44" s="1187">
        <v>125028.07664000001</v>
      </c>
      <c r="F44" s="1187">
        <v>122795.03886000002</v>
      </c>
      <c r="G44" s="978">
        <v>138.65743000000001</v>
      </c>
      <c r="H44" s="978">
        <v>138.65743000000001</v>
      </c>
      <c r="I44" s="640">
        <f t="shared" ref="I44:J46" si="21">+E44+G44</f>
        <v>125166.73407000002</v>
      </c>
      <c r="J44" s="640">
        <f t="shared" si="21"/>
        <v>122933.69629000002</v>
      </c>
      <c r="K44" s="125">
        <v>300</v>
      </c>
      <c r="L44" s="125">
        <v>486.31074999999998</v>
      </c>
      <c r="M44" s="125">
        <v>0</v>
      </c>
      <c r="N44" s="125">
        <v>0</v>
      </c>
      <c r="O44" s="1202">
        <v>0</v>
      </c>
      <c r="P44" s="625"/>
      <c r="Q44" s="834">
        <v>0</v>
      </c>
      <c r="R44" s="662">
        <f>+J44+Q44</f>
        <v>122933.69629000002</v>
      </c>
    </row>
    <row r="45" spans="1:20" ht="12.75" customHeight="1" x14ac:dyDescent="0.25">
      <c r="A45" s="49">
        <f t="shared" si="4"/>
        <v>38</v>
      </c>
      <c r="B45" s="469"/>
      <c r="C45" s="984"/>
      <c r="D45" s="133" t="s">
        <v>932</v>
      </c>
      <c r="E45" s="1187">
        <v>53285.78568999999</v>
      </c>
      <c r="F45" s="1187">
        <v>59987.572549999997</v>
      </c>
      <c r="G45" s="978">
        <v>0</v>
      </c>
      <c r="H45" s="978">
        <v>0</v>
      </c>
      <c r="I45" s="640">
        <f t="shared" si="21"/>
        <v>53285.78568999999</v>
      </c>
      <c r="J45" s="640">
        <f t="shared" si="21"/>
        <v>59987.572549999997</v>
      </c>
      <c r="K45" s="125">
        <v>400</v>
      </c>
      <c r="L45" s="125">
        <v>0</v>
      </c>
      <c r="M45" s="125">
        <v>0</v>
      </c>
      <c r="N45" s="125">
        <v>0</v>
      </c>
      <c r="O45" s="1202">
        <v>0</v>
      </c>
      <c r="P45" s="625"/>
      <c r="Q45" s="834">
        <v>0</v>
      </c>
      <c r="R45" s="662">
        <f>+J45+Q45</f>
        <v>59987.572549999997</v>
      </c>
    </row>
    <row r="46" spans="1:20" ht="12.75" customHeight="1" x14ac:dyDescent="0.25">
      <c r="A46" s="49">
        <f t="shared" si="4"/>
        <v>39</v>
      </c>
      <c r="B46" s="469"/>
      <c r="C46" s="985"/>
      <c r="D46" s="133" t="s">
        <v>933</v>
      </c>
      <c r="E46" s="1187">
        <v>61669.768950000005</v>
      </c>
      <c r="F46" s="1187">
        <v>60845.730369999997</v>
      </c>
      <c r="G46" s="978">
        <v>1405.1969999999999</v>
      </c>
      <c r="H46" s="978">
        <v>1405.1969999999999</v>
      </c>
      <c r="I46" s="640">
        <f t="shared" si="21"/>
        <v>63074.965950000005</v>
      </c>
      <c r="J46" s="640">
        <f t="shared" si="21"/>
        <v>62250.927369999998</v>
      </c>
      <c r="K46" s="125">
        <v>200</v>
      </c>
      <c r="L46" s="125">
        <v>0</v>
      </c>
      <c r="M46" s="125">
        <v>60</v>
      </c>
      <c r="N46" s="125">
        <v>0</v>
      </c>
      <c r="O46" s="1202">
        <v>0</v>
      </c>
      <c r="P46" s="625"/>
      <c r="Q46" s="834">
        <v>820.73800000000006</v>
      </c>
      <c r="R46" s="662">
        <f>+J46+Q46</f>
        <v>63071.665369999995</v>
      </c>
    </row>
    <row r="47" spans="1:20" s="18" customFormat="1" ht="12.75" customHeight="1" x14ac:dyDescent="0.25">
      <c r="A47" s="49">
        <f t="shared" si="4"/>
        <v>40</v>
      </c>
      <c r="B47" s="469"/>
      <c r="C47" s="984"/>
      <c r="D47" s="921" t="s">
        <v>813</v>
      </c>
      <c r="E47" s="635">
        <f>+E48</f>
        <v>12283.09986</v>
      </c>
      <c r="F47" s="636">
        <f t="shared" ref="F47:O47" si="22">+F48</f>
        <v>12282.872859999999</v>
      </c>
      <c r="G47" s="635">
        <f t="shared" si="22"/>
        <v>0</v>
      </c>
      <c r="H47" s="635">
        <f t="shared" si="22"/>
        <v>0</v>
      </c>
      <c r="I47" s="635">
        <f t="shared" si="22"/>
        <v>12283.09986</v>
      </c>
      <c r="J47" s="635">
        <f t="shared" si="22"/>
        <v>12282.872859999999</v>
      </c>
      <c r="K47" s="635">
        <v>0</v>
      </c>
      <c r="L47" s="635">
        <f t="shared" si="22"/>
        <v>0</v>
      </c>
      <c r="M47" s="635">
        <f t="shared" si="22"/>
        <v>0</v>
      </c>
      <c r="N47" s="635">
        <f t="shared" si="22"/>
        <v>0</v>
      </c>
      <c r="O47" s="639">
        <f t="shared" si="22"/>
        <v>0</v>
      </c>
      <c r="P47" s="625"/>
      <c r="Q47" s="638">
        <f>+Q48</f>
        <v>0</v>
      </c>
      <c r="R47" s="637">
        <f>+R48</f>
        <v>12282.872859999999</v>
      </c>
    </row>
    <row r="48" spans="1:20" ht="12.75" customHeight="1" thickBot="1" x14ac:dyDescent="0.3">
      <c r="A48" s="49">
        <f t="shared" si="4"/>
        <v>41</v>
      </c>
      <c r="B48" s="469"/>
      <c r="C48" s="482"/>
      <c r="D48" s="133" t="s">
        <v>934</v>
      </c>
      <c r="E48" s="1187">
        <v>12283.09986</v>
      </c>
      <c r="F48" s="1187">
        <v>12282.872859999999</v>
      </c>
      <c r="G48" s="978">
        <v>0</v>
      </c>
      <c r="H48" s="978">
        <v>0</v>
      </c>
      <c r="I48" s="640">
        <f>+E48+G48</f>
        <v>12283.09986</v>
      </c>
      <c r="J48" s="640">
        <f>+F48+H48</f>
        <v>12282.872859999999</v>
      </c>
      <c r="K48" s="125">
        <v>0</v>
      </c>
      <c r="L48" s="125">
        <v>0</v>
      </c>
      <c r="M48" s="125">
        <v>0</v>
      </c>
      <c r="N48" s="125">
        <v>0</v>
      </c>
      <c r="O48" s="1202">
        <v>0</v>
      </c>
      <c r="P48" s="625"/>
      <c r="Q48" s="834">
        <v>0</v>
      </c>
      <c r="R48" s="662">
        <f>+J48+Q48</f>
        <v>12282.872859999999</v>
      </c>
    </row>
    <row r="49" spans="1:18" s="124" customFormat="1" ht="13.5" customHeight="1" thickBot="1" x14ac:dyDescent="0.3">
      <c r="A49" s="791">
        <f t="shared" si="4"/>
        <v>42</v>
      </c>
      <c r="B49" s="489"/>
      <c r="C49" s="490"/>
      <c r="D49" s="712" t="s">
        <v>520</v>
      </c>
      <c r="E49" s="830">
        <f t="shared" ref="E49:J49" si="23">+E7+E23+E39+E42</f>
        <v>4238162.5835899999</v>
      </c>
      <c r="F49" s="831">
        <f t="shared" si="23"/>
        <v>4225780.0585000003</v>
      </c>
      <c r="G49" s="831">
        <f t="shared" si="23"/>
        <v>144951.95543</v>
      </c>
      <c r="H49" s="831">
        <f t="shared" si="23"/>
        <v>138894.52987</v>
      </c>
      <c r="I49" s="831">
        <f t="shared" si="23"/>
        <v>4383114.53902</v>
      </c>
      <c r="J49" s="831">
        <f t="shared" si="23"/>
        <v>4364674.5883700009</v>
      </c>
      <c r="K49" s="831">
        <v>0</v>
      </c>
      <c r="L49" s="831">
        <f>+L7+L23+L39+L42</f>
        <v>208504.03894999999</v>
      </c>
      <c r="M49" s="831">
        <f>+M7+M23+M39+M42</f>
        <v>146483.49145</v>
      </c>
      <c r="N49" s="831">
        <f>+N7+N23+N39+N42</f>
        <v>21090.785169999999</v>
      </c>
      <c r="O49" s="713">
        <f>+O7+O23+O39+O42</f>
        <v>2549.97903</v>
      </c>
      <c r="P49" s="625"/>
      <c r="Q49" s="830">
        <f>+Q7+Q23+Q39+Q42</f>
        <v>834.91925000000003</v>
      </c>
      <c r="R49" s="713">
        <f>+R7+R23+R39+R42</f>
        <v>4365509.5076200003</v>
      </c>
    </row>
    <row r="50" spans="1:18" s="124" customFormat="1" ht="1.9" customHeight="1" x14ac:dyDescent="0.25"/>
    <row r="51" spans="1:18" ht="10.15" customHeight="1" x14ac:dyDescent="0.25">
      <c r="A51" s="123" t="s">
        <v>814</v>
      </c>
      <c r="B51" s="124"/>
      <c r="C51" s="177"/>
      <c r="D51" s="972"/>
    </row>
    <row r="52" spans="1:18" ht="40.15" customHeight="1" x14ac:dyDescent="0.25">
      <c r="A52" s="1393" t="s">
        <v>983</v>
      </c>
      <c r="B52" s="1393"/>
      <c r="C52" s="1394"/>
      <c r="D52" s="1394"/>
      <c r="E52" s="1394"/>
      <c r="F52" s="1394"/>
      <c r="G52" s="1394"/>
      <c r="H52" s="1394"/>
      <c r="I52" s="1394"/>
      <c r="J52" s="1394"/>
      <c r="K52" s="1394"/>
      <c r="L52" s="1394"/>
      <c r="M52" s="1394"/>
      <c r="N52" s="1394"/>
      <c r="O52" s="1394"/>
      <c r="P52" s="1394"/>
      <c r="Q52" s="1394"/>
      <c r="R52" s="1395"/>
    </row>
    <row r="53" spans="1:18" ht="14.25" customHeight="1" x14ac:dyDescent="0.25">
      <c r="A53" s="1393" t="s">
        <v>984</v>
      </c>
      <c r="B53" s="1393"/>
      <c r="C53" s="1394"/>
      <c r="D53" s="1394"/>
      <c r="E53" s="1394"/>
      <c r="F53" s="1394"/>
      <c r="G53" s="1394"/>
      <c r="H53" s="1394"/>
      <c r="I53" s="1394"/>
      <c r="J53" s="1394"/>
      <c r="K53" s="1394"/>
      <c r="L53" s="1394"/>
      <c r="M53" s="1394"/>
      <c r="N53" s="1394"/>
      <c r="O53" s="1394"/>
      <c r="P53" s="1394"/>
      <c r="Q53" s="1394"/>
      <c r="R53" s="1395"/>
    </row>
    <row r="54" spans="1:18" ht="24.75" customHeight="1" x14ac:dyDescent="0.25">
      <c r="A54" s="1393" t="s">
        <v>749</v>
      </c>
      <c r="B54" s="1393"/>
      <c r="C54" s="1394"/>
      <c r="D54" s="1394"/>
      <c r="E54" s="1394"/>
      <c r="F54" s="1394"/>
      <c r="G54" s="1394"/>
      <c r="H54" s="1394"/>
      <c r="I54" s="1394"/>
      <c r="J54" s="1394"/>
      <c r="K54" s="1394"/>
      <c r="L54" s="1394"/>
      <c r="M54" s="1394"/>
      <c r="N54" s="1394"/>
      <c r="O54" s="1394"/>
      <c r="P54" s="1394"/>
      <c r="Q54" s="1394"/>
      <c r="R54" s="1395"/>
    </row>
    <row r="55" spans="1:18" ht="13.9" customHeight="1" x14ac:dyDescent="0.25">
      <c r="A55" s="1393" t="s">
        <v>985</v>
      </c>
      <c r="B55" s="1393"/>
      <c r="C55" s="1394"/>
      <c r="D55" s="1394"/>
      <c r="E55" s="1394"/>
      <c r="F55" s="1394"/>
      <c r="G55" s="1394"/>
      <c r="H55" s="1394"/>
      <c r="I55" s="1394"/>
      <c r="J55" s="1394"/>
      <c r="K55" s="1394"/>
      <c r="L55" s="1394"/>
      <c r="M55" s="1394"/>
      <c r="N55" s="1394"/>
      <c r="O55" s="1394"/>
      <c r="P55" s="1394"/>
      <c r="Q55" s="1394"/>
      <c r="R55" s="1395"/>
    </row>
    <row r="56" spans="1:18" x14ac:dyDescent="0.25">
      <c r="A56" s="1393" t="s">
        <v>986</v>
      </c>
      <c r="B56" s="1393"/>
      <c r="C56" s="1394"/>
      <c r="D56" s="1394"/>
      <c r="E56" s="1394"/>
      <c r="F56" s="1394"/>
      <c r="G56" s="1394"/>
      <c r="H56" s="1394"/>
      <c r="I56" s="1394"/>
      <c r="J56" s="1394"/>
      <c r="K56" s="1394"/>
      <c r="L56" s="1394"/>
      <c r="M56" s="1394"/>
      <c r="N56" s="1394"/>
      <c r="O56" s="1394"/>
      <c r="P56" s="1394"/>
      <c r="Q56" s="1394"/>
      <c r="R56" s="1395"/>
    </row>
    <row r="57" spans="1:18" x14ac:dyDescent="0.25">
      <c r="A57" s="1393" t="s">
        <v>584</v>
      </c>
      <c r="B57" s="1393"/>
      <c r="C57" s="1394"/>
      <c r="D57" s="1394"/>
      <c r="E57" s="1394"/>
      <c r="F57" s="1394"/>
      <c r="G57" s="1394"/>
      <c r="H57" s="1394"/>
      <c r="I57" s="1394"/>
      <c r="J57" s="1394"/>
      <c r="K57" s="1394"/>
      <c r="L57" s="1394"/>
      <c r="M57" s="1394"/>
      <c r="N57" s="1394"/>
      <c r="O57" s="1394"/>
      <c r="P57" s="1394"/>
      <c r="Q57" s="1394"/>
      <c r="R57" s="1395"/>
    </row>
    <row r="58" spans="1:18" ht="13.15" customHeight="1" x14ac:dyDescent="0.25">
      <c r="A58" s="1393" t="s">
        <v>1052</v>
      </c>
      <c r="B58" s="1393"/>
      <c r="C58" s="1393"/>
      <c r="D58" s="1393"/>
      <c r="E58" s="1393"/>
      <c r="F58" s="1393"/>
      <c r="G58" s="1393"/>
      <c r="H58" s="1393"/>
      <c r="I58" s="1393"/>
      <c r="J58" s="1393"/>
      <c r="K58" s="1393"/>
      <c r="L58" s="1393"/>
      <c r="M58" s="1393"/>
      <c r="N58" s="1393"/>
      <c r="O58" s="1393"/>
      <c r="P58" s="1393"/>
      <c r="Q58" s="1393"/>
      <c r="R58" s="1395"/>
    </row>
    <row r="59" spans="1:18" ht="15" customHeight="1" x14ac:dyDescent="0.25">
      <c r="A59" s="1393" t="s">
        <v>1257</v>
      </c>
      <c r="B59" s="1393"/>
      <c r="C59" s="1393"/>
      <c r="D59" s="1393"/>
      <c r="E59" s="1393"/>
      <c r="F59" s="1393"/>
      <c r="G59" s="1393"/>
      <c r="H59" s="1393"/>
      <c r="I59" s="1393"/>
      <c r="J59" s="1393"/>
      <c r="K59" s="1393"/>
      <c r="L59" s="1393"/>
      <c r="M59" s="1393"/>
      <c r="N59" s="1393"/>
      <c r="O59" s="1393"/>
      <c r="P59" s="1393"/>
      <c r="Q59" s="1393"/>
      <c r="R59" s="1395"/>
    </row>
    <row r="60" spans="1:18" ht="11.45" customHeight="1" x14ac:dyDescent="0.25">
      <c r="A60" s="1393" t="s">
        <v>987</v>
      </c>
      <c r="B60" s="1393"/>
      <c r="C60" s="1394"/>
      <c r="D60" s="1394"/>
      <c r="E60" s="1394"/>
      <c r="F60" s="1394"/>
      <c r="G60" s="1394"/>
      <c r="H60" s="1394"/>
      <c r="I60" s="1394"/>
      <c r="J60" s="1394"/>
      <c r="K60" s="1394"/>
      <c r="L60" s="1394"/>
      <c r="M60" s="1394"/>
      <c r="N60" s="1394"/>
      <c r="O60" s="1394"/>
      <c r="P60" s="1394"/>
      <c r="Q60" s="1394"/>
      <c r="R60" s="1395"/>
    </row>
    <row r="61" spans="1:18" s="390" customFormat="1" ht="13.15" customHeight="1" x14ac:dyDescent="0.25">
      <c r="A61" s="1393" t="s">
        <v>988</v>
      </c>
      <c r="B61" s="1393"/>
      <c r="C61" s="1393"/>
      <c r="D61" s="1393"/>
      <c r="E61" s="1393"/>
      <c r="F61" s="1393"/>
      <c r="G61" s="1393"/>
      <c r="H61" s="1393"/>
      <c r="I61" s="1393"/>
      <c r="J61" s="1393"/>
      <c r="K61" s="1393"/>
      <c r="L61" s="1393"/>
      <c r="M61" s="1393"/>
      <c r="N61" s="1393"/>
      <c r="O61" s="1393"/>
      <c r="P61" s="1393"/>
      <c r="Q61" s="1393"/>
      <c r="R61" s="1395"/>
    </row>
    <row r="62" spans="1:18" x14ac:dyDescent="0.25">
      <c r="A62" s="136"/>
      <c r="B62" s="136"/>
      <c r="C62" s="136"/>
    </row>
  </sheetData>
  <mergeCells count="23">
    <mergeCell ref="A60:R60"/>
    <mergeCell ref="A61:R61"/>
    <mergeCell ref="R4:R5"/>
    <mergeCell ref="A52:R52"/>
    <mergeCell ref="A53:R53"/>
    <mergeCell ref="A54:R54"/>
    <mergeCell ref="A55:R55"/>
    <mergeCell ref="N4:N5"/>
    <mergeCell ref="O4:O5"/>
    <mergeCell ref="Q4:Q5"/>
    <mergeCell ref="A56:R56"/>
    <mergeCell ref="A4:A6"/>
    <mergeCell ref="C4:C6"/>
    <mergeCell ref="D4:D6"/>
    <mergeCell ref="K4:K5"/>
    <mergeCell ref="L4:L5"/>
    <mergeCell ref="A57:R57"/>
    <mergeCell ref="A58:R58"/>
    <mergeCell ref="A59:R59"/>
    <mergeCell ref="E4:F4"/>
    <mergeCell ref="G4:H4"/>
    <mergeCell ref="I4:J4"/>
    <mergeCell ref="M4:M5"/>
  </mergeCells>
  <printOptions horizontalCentered="1" verticalCentered="1"/>
  <pageMargins left="0" right="0" top="0.39370078740157483" bottom="0" header="0.31496062992125984" footer="0.31496062992125984"/>
  <pageSetup paperSize="9" scale="6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T46"/>
  <sheetViews>
    <sheetView workbookViewId="0">
      <pane xSplit="4" ySplit="5" topLeftCell="E6" activePane="bottomRight" state="frozen"/>
      <selection activeCell="B151" sqref="B151"/>
      <selection pane="topRight" activeCell="B151" sqref="B151"/>
      <selection pane="bottomLeft" activeCell="B151" sqref="B151"/>
      <selection pane="bottomRight" activeCell="B151" sqref="B151"/>
    </sheetView>
  </sheetViews>
  <sheetFormatPr defaultColWidth="11.85546875" defaultRowHeight="12.75" x14ac:dyDescent="0.25"/>
  <cols>
    <col min="1" max="1" width="4.28515625" style="44" customWidth="1"/>
    <col min="2" max="2" width="5.28515625" style="44" bestFit="1" customWidth="1"/>
    <col min="3" max="3" width="16" style="44" customWidth="1"/>
    <col min="4" max="4" width="50.5703125" style="44" customWidth="1"/>
    <col min="5" max="5" width="12.140625" style="44" customWidth="1"/>
    <col min="6" max="6" width="10.7109375" style="44" customWidth="1"/>
    <col min="7" max="7" width="11.5703125" style="44" customWidth="1"/>
    <col min="8" max="8" width="10.7109375" style="44" customWidth="1"/>
    <col min="9" max="9" width="11.7109375" style="44" customWidth="1"/>
    <col min="10" max="10" width="10.7109375" style="44" customWidth="1"/>
    <col min="11" max="11" width="14" style="44" customWidth="1"/>
    <col min="12" max="12" width="0.85546875" style="44" customWidth="1"/>
    <col min="13" max="13" width="9.7109375" style="44" customWidth="1"/>
    <col min="14" max="14" width="14" style="44" customWidth="1"/>
    <col min="15" max="15" width="10.7109375" style="44" customWidth="1"/>
    <col min="16" max="16" width="8.85546875" style="45" customWidth="1"/>
    <col min="17" max="17" width="9.140625" style="45" customWidth="1"/>
    <col min="18" max="254" width="9.140625" style="44" customWidth="1"/>
    <col min="255" max="255" width="3.28515625" style="44" customWidth="1"/>
    <col min="256" max="16384" width="11.85546875" style="44"/>
  </cols>
  <sheetData>
    <row r="1" spans="1:20" s="8" customFormat="1" ht="21" x14ac:dyDescent="0.25">
      <c r="A1" s="986" t="s">
        <v>618</v>
      </c>
      <c r="B1" s="986"/>
      <c r="I1" s="106"/>
      <c r="L1" s="43"/>
      <c r="P1" s="7"/>
      <c r="Q1" s="7"/>
      <c r="R1" s="7"/>
      <c r="S1" s="7"/>
      <c r="T1" s="7"/>
    </row>
    <row r="2" spans="1:20" ht="13.5" thickBot="1" x14ac:dyDescent="0.3">
      <c r="E2" s="987"/>
      <c r="F2" s="987"/>
      <c r="L2" s="43"/>
      <c r="O2" s="988" t="s">
        <v>918</v>
      </c>
      <c r="R2" s="45"/>
      <c r="S2" s="45"/>
      <c r="T2" s="45"/>
    </row>
    <row r="3" spans="1:20" ht="40.5" customHeight="1" x14ac:dyDescent="0.25">
      <c r="A3" s="1415" t="s">
        <v>341</v>
      </c>
      <c r="B3" s="464" t="s">
        <v>341</v>
      </c>
      <c r="C3" s="1418" t="s">
        <v>1298</v>
      </c>
      <c r="D3" s="1421" t="s">
        <v>531</v>
      </c>
      <c r="E3" s="1376" t="s">
        <v>550</v>
      </c>
      <c r="F3" s="1377"/>
      <c r="G3" s="1377" t="s">
        <v>516</v>
      </c>
      <c r="H3" s="1377"/>
      <c r="I3" s="1377" t="s">
        <v>532</v>
      </c>
      <c r="J3" s="1377"/>
      <c r="K3" s="1381" t="s">
        <v>521</v>
      </c>
      <c r="L3" s="43"/>
      <c r="M3" s="1383" t="s">
        <v>557</v>
      </c>
      <c r="N3" s="1400" t="s">
        <v>570</v>
      </c>
      <c r="O3" s="1385" t="s">
        <v>518</v>
      </c>
    </row>
    <row r="4" spans="1:20" ht="15" customHeight="1" x14ac:dyDescent="0.25">
      <c r="A4" s="1416"/>
      <c r="B4" s="805" t="s">
        <v>967</v>
      </c>
      <c r="C4" s="1419"/>
      <c r="D4" s="1422"/>
      <c r="E4" s="49" t="s">
        <v>551</v>
      </c>
      <c r="F4" s="37" t="s">
        <v>474</v>
      </c>
      <c r="G4" s="46" t="s">
        <v>548</v>
      </c>
      <c r="H4" s="37" t="s">
        <v>474</v>
      </c>
      <c r="I4" s="46" t="s">
        <v>533</v>
      </c>
      <c r="J4" s="37" t="s">
        <v>474</v>
      </c>
      <c r="K4" s="1382"/>
      <c r="L4" s="43"/>
      <c r="M4" s="1384"/>
      <c r="N4" s="1401"/>
      <c r="O4" s="1386"/>
    </row>
    <row r="5" spans="1:20" ht="15" customHeight="1" thickBot="1" x14ac:dyDescent="0.3">
      <c r="A5" s="1417"/>
      <c r="B5" s="465" t="s">
        <v>969</v>
      </c>
      <c r="C5" s="1420"/>
      <c r="D5" s="1423"/>
      <c r="E5" s="619" t="s">
        <v>405</v>
      </c>
      <c r="F5" s="38" t="s">
        <v>406</v>
      </c>
      <c r="G5" s="38" t="s">
        <v>407</v>
      </c>
      <c r="H5" s="38" t="s">
        <v>408</v>
      </c>
      <c r="I5" s="38" t="s">
        <v>471</v>
      </c>
      <c r="J5" s="38" t="s">
        <v>472</v>
      </c>
      <c r="K5" s="807" t="s">
        <v>519</v>
      </c>
      <c r="L5" s="43"/>
      <c r="M5" s="619" t="s">
        <v>412</v>
      </c>
      <c r="N5" s="38" t="s">
        <v>413</v>
      </c>
      <c r="O5" s="807" t="s">
        <v>534</v>
      </c>
    </row>
    <row r="6" spans="1:20" s="43" customFormat="1" ht="30" customHeight="1" x14ac:dyDescent="0.25">
      <c r="A6" s="989">
        <v>1</v>
      </c>
      <c r="B6" s="990"/>
      <c r="C6" s="705" t="s">
        <v>1335</v>
      </c>
      <c r="D6" s="644" t="s">
        <v>1358</v>
      </c>
      <c r="E6" s="645">
        <v>0</v>
      </c>
      <c r="F6" s="646">
        <v>0</v>
      </c>
      <c r="G6" s="646">
        <v>174770.948</v>
      </c>
      <c r="H6" s="646">
        <v>191447.57699999999</v>
      </c>
      <c r="I6" s="317">
        <f>+E6+G6</f>
        <v>174770.948</v>
      </c>
      <c r="J6" s="317">
        <f>+F6+H6</f>
        <v>191447.57699999999</v>
      </c>
      <c r="K6" s="991">
        <f>I6-J6</f>
        <v>-16676.628999999986</v>
      </c>
      <c r="M6" s="645">
        <v>30050.645680000001</v>
      </c>
      <c r="N6" s="646">
        <v>0</v>
      </c>
      <c r="O6" s="992">
        <f>J6+M6+N6</f>
        <v>221498.22268000001</v>
      </c>
      <c r="P6" s="647"/>
      <c r="Q6" s="647"/>
    </row>
    <row r="7" spans="1:20" s="43" customFormat="1" ht="30" customHeight="1" x14ac:dyDescent="0.25">
      <c r="A7" s="993">
        <v>2</v>
      </c>
      <c r="B7" s="994"/>
      <c r="C7" s="706" t="s">
        <v>1337</v>
      </c>
      <c r="D7" s="1285" t="s">
        <v>1336</v>
      </c>
      <c r="E7" s="649">
        <v>0</v>
      </c>
      <c r="F7" s="650">
        <v>0</v>
      </c>
      <c r="G7" s="650">
        <v>7359.8459999999995</v>
      </c>
      <c r="H7" s="650">
        <v>7359.8459999999995</v>
      </c>
      <c r="I7" s="995">
        <f t="shared" ref="I7:J21" si="0">+E7+G7</f>
        <v>7359.8459999999995</v>
      </c>
      <c r="J7" s="995">
        <f t="shared" si="0"/>
        <v>7359.8459999999995</v>
      </c>
      <c r="K7" s="996">
        <f t="shared" ref="K7:K14" si="1">I7-J7</f>
        <v>0</v>
      </c>
      <c r="M7" s="649">
        <v>3625.8879999999999</v>
      </c>
      <c r="N7" s="650">
        <v>0</v>
      </c>
      <c r="O7" s="996">
        <f t="shared" ref="O7:O21" si="2">+J7+M7+N7</f>
        <v>10985.734</v>
      </c>
      <c r="P7" s="647"/>
      <c r="Q7" s="647"/>
    </row>
    <row r="8" spans="1:20" s="43" customFormat="1" ht="30" customHeight="1" x14ac:dyDescent="0.25">
      <c r="A8" s="993">
        <v>3</v>
      </c>
      <c r="B8" s="994"/>
      <c r="C8" s="706" t="s">
        <v>1338</v>
      </c>
      <c r="D8" s="648" t="s">
        <v>1339</v>
      </c>
      <c r="E8" s="649">
        <v>0</v>
      </c>
      <c r="F8" s="650">
        <v>0</v>
      </c>
      <c r="G8" s="650">
        <v>14805.811</v>
      </c>
      <c r="H8" s="650">
        <v>14805.811</v>
      </c>
      <c r="I8" s="995">
        <f t="shared" si="0"/>
        <v>14805.811</v>
      </c>
      <c r="J8" s="995">
        <f t="shared" si="0"/>
        <v>14805.811</v>
      </c>
      <c r="K8" s="996">
        <f t="shared" si="1"/>
        <v>0</v>
      </c>
      <c r="M8" s="649">
        <v>0</v>
      </c>
      <c r="N8" s="650">
        <v>0</v>
      </c>
      <c r="O8" s="996">
        <f t="shared" si="2"/>
        <v>14805.811</v>
      </c>
      <c r="P8" s="647"/>
      <c r="Q8" s="647"/>
    </row>
    <row r="9" spans="1:20" s="43" customFormat="1" ht="30" customHeight="1" x14ac:dyDescent="0.25">
      <c r="A9" s="993">
        <v>4</v>
      </c>
      <c r="B9" s="994"/>
      <c r="C9" s="706" t="s">
        <v>1340</v>
      </c>
      <c r="D9" s="648" t="s">
        <v>1359</v>
      </c>
      <c r="E9" s="649">
        <v>0</v>
      </c>
      <c r="F9" s="650">
        <v>0</v>
      </c>
      <c r="G9" s="650">
        <v>40658.209629999998</v>
      </c>
      <c r="H9" s="650">
        <v>109543.57928999999</v>
      </c>
      <c r="I9" s="995">
        <f t="shared" si="0"/>
        <v>40658.209629999998</v>
      </c>
      <c r="J9" s="995">
        <f t="shared" si="0"/>
        <v>109543.57928999999</v>
      </c>
      <c r="K9" s="996">
        <f>I9-J9</f>
        <v>-68885.369659999997</v>
      </c>
      <c r="M9" s="649">
        <v>32947.282859999999</v>
      </c>
      <c r="N9" s="650">
        <v>0</v>
      </c>
      <c r="O9" s="996">
        <f t="shared" si="2"/>
        <v>142490.86215</v>
      </c>
      <c r="P9" s="647"/>
      <c r="Q9" s="647"/>
    </row>
    <row r="10" spans="1:20" s="43" customFormat="1" ht="30" customHeight="1" x14ac:dyDescent="0.25">
      <c r="A10" s="993">
        <v>5</v>
      </c>
      <c r="B10" s="994"/>
      <c r="C10" s="706" t="s">
        <v>1341</v>
      </c>
      <c r="D10" s="648" t="s">
        <v>1344</v>
      </c>
      <c r="E10" s="649">
        <v>0</v>
      </c>
      <c r="F10" s="650">
        <v>0</v>
      </c>
      <c r="G10" s="650">
        <v>27948.697</v>
      </c>
      <c r="H10" s="650">
        <v>27948.697</v>
      </c>
      <c r="I10" s="995">
        <f t="shared" si="0"/>
        <v>27948.697</v>
      </c>
      <c r="J10" s="995">
        <f t="shared" si="0"/>
        <v>27948.697</v>
      </c>
      <c r="K10" s="996">
        <f t="shared" si="1"/>
        <v>0</v>
      </c>
      <c r="M10" s="649">
        <v>7234.7747900000004</v>
      </c>
      <c r="N10" s="650">
        <v>0</v>
      </c>
      <c r="O10" s="996">
        <f t="shared" si="2"/>
        <v>35183.471790000003</v>
      </c>
      <c r="P10" s="647"/>
      <c r="Q10" s="647"/>
    </row>
    <row r="11" spans="1:20" s="43" customFormat="1" ht="30" customHeight="1" x14ac:dyDescent="0.25">
      <c r="A11" s="993">
        <v>6</v>
      </c>
      <c r="B11" s="994"/>
      <c r="C11" s="706" t="s">
        <v>1342</v>
      </c>
      <c r="D11" s="648" t="s">
        <v>1345</v>
      </c>
      <c r="E11" s="649">
        <v>0</v>
      </c>
      <c r="F11" s="650">
        <v>0</v>
      </c>
      <c r="G11" s="650">
        <v>136544.16899999999</v>
      </c>
      <c r="H11" s="650">
        <v>136544.16899999999</v>
      </c>
      <c r="I11" s="995">
        <f t="shared" si="0"/>
        <v>136544.16899999999</v>
      </c>
      <c r="J11" s="995">
        <f t="shared" si="0"/>
        <v>136544.16899999999</v>
      </c>
      <c r="K11" s="996">
        <f t="shared" si="1"/>
        <v>0</v>
      </c>
      <c r="M11" s="649">
        <v>3769.5</v>
      </c>
      <c r="N11" s="650">
        <v>0</v>
      </c>
      <c r="O11" s="996">
        <f t="shared" si="2"/>
        <v>140313.66899999999</v>
      </c>
      <c r="P11" s="647"/>
      <c r="Q11" s="647"/>
    </row>
    <row r="12" spans="1:20" s="43" customFormat="1" ht="30" customHeight="1" x14ac:dyDescent="0.25">
      <c r="A12" s="993">
        <v>7</v>
      </c>
      <c r="B12" s="994"/>
      <c r="C12" s="706" t="s">
        <v>1343</v>
      </c>
      <c r="D12" s="648" t="s">
        <v>1346</v>
      </c>
      <c r="E12" s="649">
        <v>0</v>
      </c>
      <c r="F12" s="650">
        <v>0</v>
      </c>
      <c r="G12" s="650">
        <v>0</v>
      </c>
      <c r="H12" s="650">
        <v>0</v>
      </c>
      <c r="I12" s="997">
        <f t="shared" si="0"/>
        <v>0</v>
      </c>
      <c r="J12" s="997">
        <f t="shared" si="0"/>
        <v>0</v>
      </c>
      <c r="K12" s="998">
        <f t="shared" si="1"/>
        <v>0</v>
      </c>
      <c r="M12" s="649">
        <v>3050.7109999999998</v>
      </c>
      <c r="N12" s="650">
        <v>0</v>
      </c>
      <c r="O12" s="998">
        <f t="shared" si="2"/>
        <v>3050.7109999999998</v>
      </c>
      <c r="P12" s="647"/>
      <c r="Q12" s="647"/>
    </row>
    <row r="13" spans="1:20" ht="30" customHeight="1" x14ac:dyDescent="0.25">
      <c r="A13" s="993">
        <v>8</v>
      </c>
      <c r="B13" s="994"/>
      <c r="C13" s="706" t="s">
        <v>1347</v>
      </c>
      <c r="D13" s="648" t="s">
        <v>1360</v>
      </c>
      <c r="E13" s="651">
        <v>37167.317580000003</v>
      </c>
      <c r="F13" s="652">
        <v>45350.879000000001</v>
      </c>
      <c r="G13" s="652">
        <v>0</v>
      </c>
      <c r="H13" s="652">
        <v>0</v>
      </c>
      <c r="I13" s="995">
        <f t="shared" si="0"/>
        <v>37167.317580000003</v>
      </c>
      <c r="J13" s="995">
        <f t="shared" si="0"/>
        <v>45350.879000000001</v>
      </c>
      <c r="K13" s="996">
        <f>I13-J13</f>
        <v>-8183.5614199999982</v>
      </c>
      <c r="L13" s="43"/>
      <c r="M13" s="651">
        <v>19478.663659999998</v>
      </c>
      <c r="N13" s="652">
        <v>0</v>
      </c>
      <c r="O13" s="996">
        <f t="shared" si="2"/>
        <v>64829.542659999999</v>
      </c>
    </row>
    <row r="14" spans="1:20" ht="30" customHeight="1" x14ac:dyDescent="0.25">
      <c r="A14" s="993">
        <v>9</v>
      </c>
      <c r="B14" s="994"/>
      <c r="C14" s="706" t="s">
        <v>1348</v>
      </c>
      <c r="D14" s="653" t="s">
        <v>1349</v>
      </c>
      <c r="E14" s="651">
        <v>0</v>
      </c>
      <c r="F14" s="652">
        <v>0</v>
      </c>
      <c r="G14" s="652">
        <v>6717.2849999999999</v>
      </c>
      <c r="H14" s="652">
        <v>6717.2849999999999</v>
      </c>
      <c r="I14" s="995">
        <f t="shared" si="0"/>
        <v>6717.2849999999999</v>
      </c>
      <c r="J14" s="995">
        <f t="shared" si="0"/>
        <v>6717.2849999999999</v>
      </c>
      <c r="K14" s="996">
        <f t="shared" si="1"/>
        <v>0</v>
      </c>
      <c r="L14" s="43"/>
      <c r="M14" s="651">
        <v>1895.8909100000001</v>
      </c>
      <c r="N14" s="652">
        <v>0</v>
      </c>
      <c r="O14" s="996">
        <f t="shared" si="2"/>
        <v>8613.1759099999999</v>
      </c>
    </row>
    <row r="15" spans="1:20" ht="30" customHeight="1" x14ac:dyDescent="0.25">
      <c r="A15" s="993">
        <v>10</v>
      </c>
      <c r="B15" s="994"/>
      <c r="C15" s="706" t="s">
        <v>1350</v>
      </c>
      <c r="D15" s="653" t="s">
        <v>1361</v>
      </c>
      <c r="E15" s="651">
        <v>0</v>
      </c>
      <c r="F15" s="652">
        <v>0</v>
      </c>
      <c r="G15" s="652">
        <v>195350.89671</v>
      </c>
      <c r="H15" s="652">
        <v>227541.53348000001</v>
      </c>
      <c r="I15" s="995">
        <f t="shared" si="0"/>
        <v>195350.89671</v>
      </c>
      <c r="J15" s="995">
        <f t="shared" si="0"/>
        <v>227541.53348000001</v>
      </c>
      <c r="K15" s="996">
        <f>I15-J15</f>
        <v>-32190.636770000012</v>
      </c>
      <c r="L15" s="43"/>
      <c r="M15" s="651">
        <v>3398.9250000000002</v>
      </c>
      <c r="N15" s="652">
        <v>894.375</v>
      </c>
      <c r="O15" s="996">
        <f t="shared" si="2"/>
        <v>231834.83348</v>
      </c>
    </row>
    <row r="16" spans="1:20" ht="30" customHeight="1" x14ac:dyDescent="0.25">
      <c r="A16" s="993">
        <v>11</v>
      </c>
      <c r="B16" s="1288"/>
      <c r="C16" s="1289" t="s">
        <v>1351</v>
      </c>
      <c r="D16" s="654" t="s">
        <v>1362</v>
      </c>
      <c r="E16" s="655">
        <v>9100</v>
      </c>
      <c r="F16" s="656">
        <v>4583.0249999999996</v>
      </c>
      <c r="G16" s="656">
        <v>500</v>
      </c>
      <c r="H16" s="656">
        <v>500</v>
      </c>
      <c r="I16" s="1000">
        <f t="shared" si="0"/>
        <v>9600</v>
      </c>
      <c r="J16" s="1000">
        <f t="shared" si="0"/>
        <v>5083.0249999999996</v>
      </c>
      <c r="K16" s="1001">
        <f>I16-J16</f>
        <v>4516.9750000000004</v>
      </c>
      <c r="L16" s="43"/>
      <c r="M16" s="651">
        <v>1975.32574</v>
      </c>
      <c r="N16" s="652">
        <v>0</v>
      </c>
      <c r="O16" s="996">
        <f t="shared" si="2"/>
        <v>7058.3507399999999</v>
      </c>
    </row>
    <row r="17" spans="1:17" ht="30" customHeight="1" x14ac:dyDescent="0.25">
      <c r="A17" s="993">
        <v>12</v>
      </c>
      <c r="B17" s="1291"/>
      <c r="C17" s="1289" t="s">
        <v>1352</v>
      </c>
      <c r="D17" s="654" t="s">
        <v>1363</v>
      </c>
      <c r="E17" s="655">
        <v>200</v>
      </c>
      <c r="F17" s="656">
        <v>0</v>
      </c>
      <c r="G17" s="656">
        <v>22500</v>
      </c>
      <c r="H17" s="656">
        <v>4259.4197899999999</v>
      </c>
      <c r="I17" s="1000">
        <f t="shared" si="0"/>
        <v>22700</v>
      </c>
      <c r="J17" s="1000">
        <f t="shared" si="0"/>
        <v>4259.4197899999999</v>
      </c>
      <c r="K17" s="1001">
        <f>I17-J17</f>
        <v>18440.58021</v>
      </c>
      <c r="L17" s="43"/>
      <c r="M17" s="651">
        <v>2717.5250000000001</v>
      </c>
      <c r="N17" s="652">
        <v>0</v>
      </c>
      <c r="O17" s="996">
        <f t="shared" si="2"/>
        <v>6976.9447899999996</v>
      </c>
    </row>
    <row r="18" spans="1:17" ht="30" customHeight="1" x14ac:dyDescent="0.25">
      <c r="A18" s="993">
        <v>13</v>
      </c>
      <c r="B18" s="1290"/>
      <c r="C18" s="706" t="s">
        <v>1353</v>
      </c>
      <c r="D18" s="654" t="s">
        <v>1364</v>
      </c>
      <c r="E18" s="655">
        <v>8500</v>
      </c>
      <c r="F18" s="656">
        <v>4271.8585599999997</v>
      </c>
      <c r="G18" s="656">
        <v>6000</v>
      </c>
      <c r="H18" s="656">
        <v>3163.3102800000001</v>
      </c>
      <c r="I18" s="1000">
        <f t="shared" si="0"/>
        <v>14500</v>
      </c>
      <c r="J18" s="1000">
        <f t="shared" si="0"/>
        <v>7435.1688400000003</v>
      </c>
      <c r="K18" s="1001">
        <f>I18-J18</f>
        <v>7064.8311599999997</v>
      </c>
      <c r="L18" s="43"/>
      <c r="M18" s="651">
        <v>1172.3613499999999</v>
      </c>
      <c r="N18" s="652">
        <v>0</v>
      </c>
      <c r="O18" s="996">
        <f t="shared" si="2"/>
        <v>8607.5301899999995</v>
      </c>
    </row>
    <row r="19" spans="1:17" ht="30" customHeight="1" x14ac:dyDescent="0.25">
      <c r="A19" s="993">
        <v>14</v>
      </c>
      <c r="B19" s="1286"/>
      <c r="C19" s="1287" t="s">
        <v>1354</v>
      </c>
      <c r="D19" s="654" t="s">
        <v>1365</v>
      </c>
      <c r="E19" s="655">
        <v>9800</v>
      </c>
      <c r="F19" s="656">
        <v>6800</v>
      </c>
      <c r="G19" s="656">
        <v>2600</v>
      </c>
      <c r="H19" s="656">
        <v>2317.9357</v>
      </c>
      <c r="I19" s="1000">
        <f t="shared" si="0"/>
        <v>12400</v>
      </c>
      <c r="J19" s="1000">
        <f t="shared" si="0"/>
        <v>9117.9357</v>
      </c>
      <c r="K19" s="1001">
        <f>I19-J19</f>
        <v>3282.0643</v>
      </c>
      <c r="L19" s="43"/>
      <c r="M19" s="651">
        <v>3589.4415100000001</v>
      </c>
      <c r="N19" s="652">
        <v>0</v>
      </c>
      <c r="O19" s="996">
        <f t="shared" si="2"/>
        <v>12707.377210000001</v>
      </c>
    </row>
    <row r="20" spans="1:17" ht="30" customHeight="1" x14ac:dyDescent="0.25">
      <c r="A20" s="993">
        <v>15</v>
      </c>
      <c r="B20" s="999"/>
      <c r="C20" s="707" t="s">
        <v>1355</v>
      </c>
      <c r="D20" s="654" t="s">
        <v>1366</v>
      </c>
      <c r="E20" s="655">
        <v>0</v>
      </c>
      <c r="F20" s="656">
        <v>0</v>
      </c>
      <c r="G20" s="656">
        <v>0</v>
      </c>
      <c r="H20" s="656">
        <v>0</v>
      </c>
      <c r="I20" s="1000">
        <f t="shared" si="0"/>
        <v>0</v>
      </c>
      <c r="J20" s="1000">
        <f t="shared" si="0"/>
        <v>0</v>
      </c>
      <c r="K20" s="1001">
        <v>138.52521999999999</v>
      </c>
      <c r="L20" s="43"/>
      <c r="M20" s="651">
        <v>0</v>
      </c>
      <c r="N20" s="652">
        <v>0</v>
      </c>
      <c r="O20" s="996">
        <f t="shared" si="2"/>
        <v>0</v>
      </c>
    </row>
    <row r="21" spans="1:17" ht="30" customHeight="1" thickBot="1" x14ac:dyDescent="0.3">
      <c r="A21" s="993">
        <v>16</v>
      </c>
      <c r="B21" s="999"/>
      <c r="C21" s="707" t="s">
        <v>1356</v>
      </c>
      <c r="D21" s="657" t="s">
        <v>1367</v>
      </c>
      <c r="E21" s="655">
        <v>0</v>
      </c>
      <c r="F21" s="656">
        <v>0</v>
      </c>
      <c r="G21" s="656">
        <v>0</v>
      </c>
      <c r="H21" s="656">
        <v>0</v>
      </c>
      <c r="I21" s="1000">
        <f t="shared" si="0"/>
        <v>0</v>
      </c>
      <c r="J21" s="1000">
        <f t="shared" si="0"/>
        <v>0</v>
      </c>
      <c r="K21" s="1001">
        <v>61.38523</v>
      </c>
      <c r="L21" s="43"/>
      <c r="M21" s="651">
        <v>0</v>
      </c>
      <c r="N21" s="652">
        <v>0</v>
      </c>
      <c r="O21" s="996">
        <f t="shared" si="2"/>
        <v>0</v>
      </c>
    </row>
    <row r="22" spans="1:17" s="47" customFormat="1" ht="30" customHeight="1" thickBot="1" x14ac:dyDescent="0.3">
      <c r="A22" s="1042">
        <f>A21+1</f>
        <v>17</v>
      </c>
      <c r="B22" s="1043">
        <v>10</v>
      </c>
      <c r="C22" s="1044" t="s">
        <v>1053</v>
      </c>
      <c r="D22" s="713"/>
      <c r="E22" s="1045">
        <f t="shared" ref="E22:K22" si="3">SUM(E6:E21)</f>
        <v>64767.317580000003</v>
      </c>
      <c r="F22" s="1046">
        <f t="shared" si="3"/>
        <v>61005.762560000003</v>
      </c>
      <c r="G22" s="1046">
        <f t="shared" si="3"/>
        <v>635755.86233999999</v>
      </c>
      <c r="H22" s="1046">
        <f t="shared" si="3"/>
        <v>732149.16353999986</v>
      </c>
      <c r="I22" s="1046">
        <f t="shared" si="3"/>
        <v>700523.17992000002</v>
      </c>
      <c r="J22" s="1046">
        <f t="shared" si="3"/>
        <v>793154.92610000004</v>
      </c>
      <c r="K22" s="1047">
        <f t="shared" si="3"/>
        <v>-92431.835729999992</v>
      </c>
      <c r="L22" s="43"/>
      <c r="M22" s="1045">
        <f>SUM(M6:M21)</f>
        <v>114906.93550000001</v>
      </c>
      <c r="N22" s="1046">
        <f>SUM(N6:N21)</f>
        <v>894.375</v>
      </c>
      <c r="O22" s="1047">
        <f>SUM(O6:O21)</f>
        <v>908956.23659999995</v>
      </c>
      <c r="P22" s="658"/>
      <c r="Q22" s="1057"/>
    </row>
    <row r="23" spans="1:17" s="47" customFormat="1" ht="15" x14ac:dyDescent="0.25">
      <c r="A23" s="1002"/>
      <c r="B23" s="1002"/>
      <c r="C23" s="195"/>
      <c r="D23" s="195"/>
      <c r="E23" s="1003"/>
      <c r="F23" s="1003"/>
      <c r="G23" s="1003"/>
      <c r="H23" s="1003"/>
      <c r="I23" s="1003"/>
      <c r="J23" s="1003"/>
      <c r="K23" s="1003"/>
      <c r="L23" s="43"/>
      <c r="M23" s="1003"/>
      <c r="N23" s="1003"/>
      <c r="O23" s="1003"/>
      <c r="P23" s="658"/>
      <c r="Q23" s="658"/>
    </row>
    <row r="24" spans="1:17" ht="18" customHeight="1" x14ac:dyDescent="0.25">
      <c r="A24" s="44" t="s">
        <v>435</v>
      </c>
      <c r="L24" s="43"/>
    </row>
    <row r="25" spans="1:17" ht="24" customHeight="1" x14ac:dyDescent="0.25">
      <c r="A25" s="1414" t="s">
        <v>989</v>
      </c>
      <c r="B25" s="1414"/>
      <c r="C25" s="1414"/>
      <c r="D25" s="1414"/>
      <c r="E25" s="1414"/>
      <c r="F25" s="1414"/>
      <c r="G25" s="1414"/>
      <c r="H25" s="1414"/>
      <c r="I25" s="1414"/>
      <c r="J25" s="1414"/>
      <c r="K25" s="1414"/>
      <c r="L25" s="1414"/>
      <c r="M25" s="1414"/>
      <c r="N25" s="1414"/>
      <c r="O25" s="1414"/>
    </row>
    <row r="26" spans="1:17" ht="14.25" customHeight="1" x14ac:dyDescent="0.25">
      <c r="A26" s="1414" t="s">
        <v>1161</v>
      </c>
      <c r="B26" s="1414"/>
      <c r="C26" s="1414"/>
      <c r="D26" s="1414"/>
      <c r="E26" s="1414"/>
      <c r="F26" s="1414"/>
      <c r="G26" s="1414"/>
      <c r="H26" s="1414"/>
      <c r="I26" s="1414"/>
      <c r="J26" s="1414"/>
      <c r="K26" s="1414"/>
      <c r="L26" s="1414"/>
      <c r="M26" s="1414"/>
      <c r="N26" s="1414"/>
      <c r="O26" s="1414"/>
    </row>
    <row r="27" spans="1:17" x14ac:dyDescent="0.25">
      <c r="A27" s="1414" t="s">
        <v>552</v>
      </c>
      <c r="B27" s="1414"/>
      <c r="C27" s="1414"/>
      <c r="D27" s="1414"/>
      <c r="E27" s="1414"/>
      <c r="F27" s="1414"/>
      <c r="G27" s="1414"/>
      <c r="H27" s="1414"/>
      <c r="I27" s="1414"/>
      <c r="J27" s="1414"/>
      <c r="K27" s="1414"/>
      <c r="L27" s="1414"/>
      <c r="M27" s="1414"/>
      <c r="N27" s="1414"/>
      <c r="O27" s="1414"/>
    </row>
    <row r="28" spans="1:17" ht="12.75" customHeight="1" x14ac:dyDescent="0.25">
      <c r="A28" s="1414" t="s">
        <v>558</v>
      </c>
      <c r="B28" s="1414"/>
      <c r="C28" s="1414"/>
      <c r="D28" s="1414"/>
      <c r="E28" s="1414"/>
      <c r="F28" s="1414"/>
      <c r="G28" s="1414"/>
      <c r="H28" s="1414"/>
      <c r="I28" s="1414"/>
      <c r="J28" s="1414"/>
      <c r="K28" s="1414"/>
      <c r="L28" s="1414"/>
      <c r="M28" s="1414"/>
      <c r="N28" s="1414"/>
      <c r="O28" s="1414"/>
    </row>
    <row r="29" spans="1:17" ht="12.75" customHeight="1" x14ac:dyDescent="0.25">
      <c r="A29" s="1414" t="s">
        <v>990</v>
      </c>
      <c r="B29" s="1414"/>
      <c r="C29" s="1414"/>
      <c r="D29" s="1414"/>
      <c r="E29" s="1414"/>
      <c r="F29" s="1414"/>
      <c r="G29" s="1414"/>
      <c r="H29" s="1414"/>
      <c r="I29" s="1414"/>
      <c r="J29" s="1414"/>
      <c r="K29" s="1414"/>
      <c r="L29" s="1414"/>
      <c r="M29" s="1414"/>
      <c r="N29" s="1414"/>
      <c r="O29" s="1414"/>
    </row>
    <row r="30" spans="1:17" ht="12.75" customHeight="1" x14ac:dyDescent="0.25">
      <c r="A30" s="1414" t="s">
        <v>1299</v>
      </c>
      <c r="B30" s="1414"/>
      <c r="C30" s="1414"/>
      <c r="D30" s="1414"/>
      <c r="E30" s="1414"/>
      <c r="F30" s="1053"/>
      <c r="G30" s="1053"/>
      <c r="H30" s="1053"/>
      <c r="I30" s="1053"/>
      <c r="J30" s="1053"/>
      <c r="K30" s="1053"/>
      <c r="L30" s="1053"/>
      <c r="M30" s="1053"/>
      <c r="N30" s="1053"/>
      <c r="O30" s="1053"/>
    </row>
    <row r="31" spans="1:17" ht="12.75" customHeight="1" x14ac:dyDescent="0.25">
      <c r="A31" s="1414" t="s">
        <v>1368</v>
      </c>
      <c r="B31" s="1424"/>
      <c r="C31" s="1424"/>
      <c r="D31" s="1424"/>
      <c r="E31" s="1424"/>
      <c r="F31" s="1424"/>
      <c r="G31" s="1424"/>
      <c r="H31" s="1424"/>
      <c r="I31" s="1424"/>
      <c r="J31" s="1424"/>
      <c r="K31" s="1053"/>
      <c r="L31" s="1053"/>
      <c r="M31" s="1053"/>
      <c r="N31" s="1053"/>
      <c r="O31" s="1053"/>
    </row>
    <row r="32" spans="1:17" ht="12.6" customHeight="1" x14ac:dyDescent="0.25">
      <c r="A32" s="1425" t="s">
        <v>1369</v>
      </c>
      <c r="B32" s="1425"/>
      <c r="C32" s="1425"/>
      <c r="D32" s="1425"/>
      <c r="E32" s="1425"/>
      <c r="F32" s="1425"/>
      <c r="G32" s="1425"/>
      <c r="H32" s="1425"/>
      <c r="I32" s="1053"/>
      <c r="J32" s="1053"/>
      <c r="K32" s="1053"/>
      <c r="L32" s="1053"/>
      <c r="M32" s="1053"/>
      <c r="N32" s="1053"/>
      <c r="O32" s="1053"/>
    </row>
    <row r="34" spans="1:1" x14ac:dyDescent="0.25">
      <c r="A34" s="44" t="s">
        <v>991</v>
      </c>
    </row>
    <row r="35" spans="1:1" s="45" customFormat="1" x14ac:dyDescent="0.25"/>
    <row r="36" spans="1:1" s="45" customFormat="1" x14ac:dyDescent="0.25"/>
    <row r="37" spans="1:1" s="45" customFormat="1" x14ac:dyDescent="0.25"/>
    <row r="38" spans="1:1" s="45" customFormat="1" x14ac:dyDescent="0.25"/>
    <row r="39" spans="1:1" s="45" customFormat="1" x14ac:dyDescent="0.25"/>
    <row r="40" spans="1:1" s="45" customFormat="1" x14ac:dyDescent="0.25"/>
    <row r="41" spans="1:1" s="45" customFormat="1" x14ac:dyDescent="0.25"/>
    <row r="42" spans="1:1" s="45" customFormat="1" x14ac:dyDescent="0.25"/>
    <row r="43" spans="1:1" s="45" customFormat="1" x14ac:dyDescent="0.25"/>
    <row r="44" spans="1:1" s="45" customFormat="1" x14ac:dyDescent="0.25"/>
    <row r="45" spans="1:1" s="45" customFormat="1" x14ac:dyDescent="0.25"/>
    <row r="46" spans="1:1" s="45" customFormat="1" x14ac:dyDescent="0.25"/>
  </sheetData>
  <mergeCells count="18">
    <mergeCell ref="A31:J31"/>
    <mergeCell ref="A32:H32"/>
    <mergeCell ref="M3:M4"/>
    <mergeCell ref="N3:N4"/>
    <mergeCell ref="A30:E30"/>
    <mergeCell ref="A27:O27"/>
    <mergeCell ref="A28:O28"/>
    <mergeCell ref="A29:O29"/>
    <mergeCell ref="O3:O4"/>
    <mergeCell ref="A25:O25"/>
    <mergeCell ref="A26:O26"/>
    <mergeCell ref="A3:A5"/>
    <mergeCell ref="C3:C5"/>
    <mergeCell ref="D3:D5"/>
    <mergeCell ref="E3:F3"/>
    <mergeCell ref="G3:H3"/>
    <mergeCell ref="I3:J3"/>
    <mergeCell ref="K3:K4"/>
  </mergeCells>
  <printOptions horizontalCentered="1" verticalCentered="1"/>
  <pageMargins left="0.11811023622047245" right="0.11811023622047245" top="0.39370078740157483" bottom="0.39370078740157483" header="0.51181102362204722" footer="0.51181102362204722"/>
  <pageSetup paperSize="9" scale="7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Z83"/>
  <sheetViews>
    <sheetView zoomScaleNormal="100" workbookViewId="0">
      <pane xSplit="7" ySplit="5" topLeftCell="H56" activePane="bottomRight" state="frozen"/>
      <selection activeCell="B151" sqref="B151"/>
      <selection pane="topRight" activeCell="B151" sqref="B151"/>
      <selection pane="bottomLeft" activeCell="B151" sqref="B151"/>
      <selection pane="bottomRight" activeCell="B151" sqref="B151"/>
    </sheetView>
  </sheetViews>
  <sheetFormatPr defaultColWidth="9.140625" defaultRowHeight="15" x14ac:dyDescent="0.25"/>
  <cols>
    <col min="1" max="2" width="4.7109375" customWidth="1"/>
    <col min="3" max="3" width="14.7109375" customWidth="1"/>
    <col min="6" max="6" width="31.5703125" customWidth="1"/>
    <col min="7" max="7" width="4.7109375" customWidth="1"/>
    <col min="8" max="8" width="10.5703125" customWidth="1"/>
    <col min="9" max="9" width="10" customWidth="1"/>
    <col min="10" max="13" width="10.42578125" customWidth="1"/>
    <col min="14" max="14" width="7.42578125" customWidth="1"/>
    <col min="15" max="15" width="10.42578125" customWidth="1"/>
    <col min="16" max="16" width="10.85546875" customWidth="1"/>
    <col min="17" max="17" width="10" customWidth="1"/>
    <col min="18" max="18" width="0.85546875" customWidth="1"/>
    <col min="20" max="20" width="10.140625" bestFit="1" customWidth="1"/>
    <col min="21" max="21" width="12.42578125" customWidth="1"/>
    <col min="23" max="23" width="13.7109375" hidden="1" customWidth="1"/>
    <col min="24" max="26" width="0" hidden="1" customWidth="1"/>
  </cols>
  <sheetData>
    <row r="1" spans="1:26" ht="24" customHeight="1" x14ac:dyDescent="0.25">
      <c r="A1" s="397" t="s">
        <v>1300</v>
      </c>
      <c r="B1" s="397"/>
      <c r="D1" s="48"/>
      <c r="E1" s="48"/>
      <c r="F1" s="48"/>
      <c r="G1" s="48"/>
      <c r="U1" s="396" t="s">
        <v>919</v>
      </c>
    </row>
    <row r="2" spans="1:26" ht="3.75" customHeight="1" thickBot="1" x14ac:dyDescent="0.3">
      <c r="C2" s="48"/>
      <c r="D2" s="48"/>
      <c r="E2" s="48"/>
      <c r="K2" s="137"/>
      <c r="L2" s="137"/>
    </row>
    <row r="3" spans="1:26" ht="28.5" customHeight="1" x14ac:dyDescent="0.25">
      <c r="A3" s="1367" t="s">
        <v>341</v>
      </c>
      <c r="B3" s="1251" t="s">
        <v>341</v>
      </c>
      <c r="C3" s="1433" t="s">
        <v>1320</v>
      </c>
      <c r="D3" s="1434"/>
      <c r="E3" s="1434"/>
      <c r="F3" s="1435"/>
      <c r="G3" s="1449" t="s">
        <v>815</v>
      </c>
      <c r="H3" s="1452" t="s">
        <v>515</v>
      </c>
      <c r="I3" s="1396"/>
      <c r="J3" s="1377" t="s">
        <v>516</v>
      </c>
      <c r="K3" s="1377"/>
      <c r="L3" s="1377" t="s">
        <v>517</v>
      </c>
      <c r="M3" s="1377"/>
      <c r="N3" s="1463" t="s">
        <v>899</v>
      </c>
      <c r="O3" s="1465" t="s">
        <v>1054</v>
      </c>
      <c r="P3" s="1400" t="s">
        <v>921</v>
      </c>
      <c r="Q3" s="1381" t="s">
        <v>922</v>
      </c>
      <c r="S3" s="1383" t="s">
        <v>923</v>
      </c>
      <c r="T3" s="1467" t="s">
        <v>789</v>
      </c>
      <c r="U3" s="1459" t="s">
        <v>1238</v>
      </c>
    </row>
    <row r="4" spans="1:26" ht="27.75" customHeight="1" x14ac:dyDescent="0.25">
      <c r="A4" s="1368"/>
      <c r="B4" s="1252" t="s">
        <v>967</v>
      </c>
      <c r="C4" s="1436"/>
      <c r="D4" s="1437"/>
      <c r="E4" s="1437"/>
      <c r="F4" s="1438"/>
      <c r="G4" s="1450"/>
      <c r="H4" s="722" t="s">
        <v>1071</v>
      </c>
      <c r="I4" s="723" t="s">
        <v>1072</v>
      </c>
      <c r="J4" s="37" t="s">
        <v>469</v>
      </c>
      <c r="K4" s="37" t="s">
        <v>474</v>
      </c>
      <c r="L4" s="37" t="s">
        <v>469</v>
      </c>
      <c r="M4" s="37" t="s">
        <v>474</v>
      </c>
      <c r="N4" s="1464"/>
      <c r="O4" s="1466"/>
      <c r="P4" s="1401"/>
      <c r="Q4" s="1382"/>
      <c r="S4" s="1384"/>
      <c r="T4" s="1468"/>
      <c r="U4" s="1460"/>
    </row>
    <row r="5" spans="1:26" ht="14.25" customHeight="1" thickBot="1" x14ac:dyDescent="0.3">
      <c r="A5" s="1369"/>
      <c r="B5" s="1253" t="s">
        <v>969</v>
      </c>
      <c r="C5" s="1439"/>
      <c r="D5" s="1440"/>
      <c r="E5" s="1440"/>
      <c r="F5" s="1441"/>
      <c r="G5" s="1451"/>
      <c r="H5" s="491" t="s">
        <v>405</v>
      </c>
      <c r="I5" s="38" t="s">
        <v>406</v>
      </c>
      <c r="J5" s="38" t="s">
        <v>407</v>
      </c>
      <c r="K5" s="38" t="s">
        <v>408</v>
      </c>
      <c r="L5" s="38" t="s">
        <v>471</v>
      </c>
      <c r="M5" s="38" t="s">
        <v>472</v>
      </c>
      <c r="N5" s="491" t="s">
        <v>554</v>
      </c>
      <c r="O5" s="806" t="s">
        <v>559</v>
      </c>
      <c r="P5" s="38" t="s">
        <v>519</v>
      </c>
      <c r="Q5" s="807" t="s">
        <v>412</v>
      </c>
      <c r="S5" s="619" t="s">
        <v>413</v>
      </c>
      <c r="T5" s="492" t="s">
        <v>582</v>
      </c>
      <c r="U5" s="394" t="s">
        <v>442</v>
      </c>
    </row>
    <row r="6" spans="1:26" ht="12.75" customHeight="1" x14ac:dyDescent="0.25">
      <c r="A6" s="400">
        <v>1</v>
      </c>
      <c r="B6" s="1254">
        <v>5</v>
      </c>
      <c r="C6" s="1461" t="s">
        <v>473</v>
      </c>
      <c r="D6" s="1461"/>
      <c r="E6" s="1461"/>
      <c r="F6" s="1462"/>
      <c r="G6" s="1004"/>
      <c r="H6" s="808">
        <f>H7+H11+H14</f>
        <v>163648.05531999998</v>
      </c>
      <c r="I6" s="808">
        <f t="shared" ref="I6:M6" si="0">I7+I11+I14</f>
        <v>127339.03156</v>
      </c>
      <c r="J6" s="808">
        <f t="shared" si="0"/>
        <v>1771977.6931699999</v>
      </c>
      <c r="K6" s="808">
        <f t="shared" si="0"/>
        <v>1859359.29507</v>
      </c>
      <c r="L6" s="808">
        <f t="shared" si="0"/>
        <v>1935625.7484899999</v>
      </c>
      <c r="M6" s="808">
        <f t="shared" si="0"/>
        <v>1986698.3266300003</v>
      </c>
      <c r="N6" s="808">
        <f>AVERAGE(N7,N11,N14)</f>
        <v>86.556296296296296</v>
      </c>
      <c r="O6" s="808">
        <f t="shared" ref="O6:Q6" si="1">O7+O11+O14</f>
        <v>441.40654000000001</v>
      </c>
      <c r="P6" s="808">
        <f t="shared" si="1"/>
        <v>-51072.578140000143</v>
      </c>
      <c r="Q6" s="809">
        <f t="shared" si="1"/>
        <v>7309.5716300000004</v>
      </c>
      <c r="S6" s="810">
        <f t="shared" ref="S6:U6" si="2">S7+S11+S14</f>
        <v>3583.8273200000003</v>
      </c>
      <c r="T6" s="809">
        <f t="shared" si="2"/>
        <v>1990282.1539500002</v>
      </c>
      <c r="U6" s="809">
        <f t="shared" si="2"/>
        <v>3582.2377700000002</v>
      </c>
    </row>
    <row r="7" spans="1:26" ht="12.75" customHeight="1" x14ac:dyDescent="0.25">
      <c r="A7" s="1005">
        <f t="shared" ref="A7:A70" si="3">A6+1</f>
        <v>2</v>
      </c>
      <c r="B7" s="1006"/>
      <c r="C7" s="1429" t="s">
        <v>1162</v>
      </c>
      <c r="D7" s="1429"/>
      <c r="E7" s="1429"/>
      <c r="F7" s="1430"/>
      <c r="G7" s="919"/>
      <c r="H7" s="811">
        <f t="shared" ref="H7:M7" si="4">SUM(H8:H10)</f>
        <v>13566.7201</v>
      </c>
      <c r="I7" s="811">
        <f t="shared" si="4"/>
        <v>14439.49497</v>
      </c>
      <c r="J7" s="811">
        <f t="shared" si="4"/>
        <v>83253.794720000005</v>
      </c>
      <c r="K7" s="811">
        <f t="shared" si="4"/>
        <v>84567.402570000006</v>
      </c>
      <c r="L7" s="811">
        <f t="shared" si="4"/>
        <v>96820.514819999997</v>
      </c>
      <c r="M7" s="811">
        <f t="shared" si="4"/>
        <v>99006.897540000005</v>
      </c>
      <c r="N7" s="811">
        <f>AVERAGE(N9:N10)</f>
        <v>82.013333333333335</v>
      </c>
      <c r="O7" s="811">
        <f>SUM(O8:O10)</f>
        <v>0</v>
      </c>
      <c r="P7" s="811">
        <f>SUM(P8:P10)</f>
        <v>-2186.3827200000105</v>
      </c>
      <c r="Q7" s="812">
        <f>SUM(Q8:Q10)</f>
        <v>6016.4869600000002</v>
      </c>
      <c r="S7" s="813">
        <f>SUM(S8:S10)</f>
        <v>3583.8273200000003</v>
      </c>
      <c r="T7" s="812">
        <f>SUM(T8:T10)</f>
        <v>102590.72486000002</v>
      </c>
      <c r="U7" s="814">
        <f>SUM(U8:U10)</f>
        <v>3582.2377700000002</v>
      </c>
    </row>
    <row r="8" spans="1:26" ht="12.75" customHeight="1" x14ac:dyDescent="0.25">
      <c r="A8" s="1007">
        <f t="shared" si="3"/>
        <v>3</v>
      </c>
      <c r="B8" s="1255"/>
      <c r="C8" s="1009" t="s">
        <v>750</v>
      </c>
      <c r="D8" s="815"/>
      <c r="E8" s="816"/>
      <c r="F8" s="1010"/>
      <c r="G8" s="1011"/>
      <c r="H8" s="1188">
        <v>0</v>
      </c>
      <c r="I8" s="1188">
        <v>-184.57777999999999</v>
      </c>
      <c r="J8" s="817">
        <v>0</v>
      </c>
      <c r="K8" s="817">
        <v>0</v>
      </c>
      <c r="L8" s="659">
        <f t="shared" ref="L8:M10" si="5">H8+J8</f>
        <v>0</v>
      </c>
      <c r="M8" s="659">
        <f t="shared" si="5"/>
        <v>-184.57777999999999</v>
      </c>
      <c r="N8" s="1012">
        <v>0</v>
      </c>
      <c r="O8" s="817">
        <v>0</v>
      </c>
      <c r="P8" s="659">
        <f>L8-M8</f>
        <v>184.57777999999999</v>
      </c>
      <c r="Q8" s="273">
        <v>510.26596000000001</v>
      </c>
      <c r="S8" s="832">
        <v>0</v>
      </c>
      <c r="T8" s="660">
        <f>M8+S8</f>
        <v>-184.57777999999999</v>
      </c>
      <c r="U8" s="273">
        <v>0</v>
      </c>
    </row>
    <row r="9" spans="1:26" ht="12.75" customHeight="1" x14ac:dyDescent="0.25">
      <c r="A9" s="1007">
        <f t="shared" si="3"/>
        <v>4</v>
      </c>
      <c r="B9" s="1255"/>
      <c r="C9" s="1013" t="s">
        <v>751</v>
      </c>
      <c r="D9" s="818"/>
      <c r="E9" s="816"/>
      <c r="F9" s="1010"/>
      <c r="G9" s="1011"/>
      <c r="H9" s="1188">
        <v>12466.98804</v>
      </c>
      <c r="I9" s="1188">
        <v>4750.1275999999998</v>
      </c>
      <c r="J9" s="817">
        <v>83253.794720000005</v>
      </c>
      <c r="K9" s="817">
        <v>84567.402570000006</v>
      </c>
      <c r="L9" s="659">
        <f t="shared" si="5"/>
        <v>95720.782760000002</v>
      </c>
      <c r="M9" s="659">
        <f t="shared" si="5"/>
        <v>89317.530170000013</v>
      </c>
      <c r="N9" s="1012">
        <v>81.126666666666665</v>
      </c>
      <c r="O9" s="817">
        <v>0</v>
      </c>
      <c r="P9" s="659">
        <f>L9-M9</f>
        <v>6403.2525899999891</v>
      </c>
      <c r="Q9" s="273">
        <v>2936.5594499999997</v>
      </c>
      <c r="S9" s="832">
        <v>583.58955000000003</v>
      </c>
      <c r="T9" s="660">
        <f>M9+S9</f>
        <v>89901.119720000017</v>
      </c>
      <c r="U9" s="273">
        <v>582</v>
      </c>
    </row>
    <row r="10" spans="1:26" ht="12.75" customHeight="1" x14ac:dyDescent="0.25">
      <c r="A10" s="1007">
        <f t="shared" si="3"/>
        <v>5</v>
      </c>
      <c r="B10" s="1255"/>
      <c r="C10" s="1013" t="s">
        <v>1163</v>
      </c>
      <c r="D10" s="818"/>
      <c r="E10" s="819"/>
      <c r="F10" s="1014"/>
      <c r="G10" s="1011"/>
      <c r="H10" s="1188">
        <v>1099.73206</v>
      </c>
      <c r="I10" s="1188">
        <v>9873.9451499999996</v>
      </c>
      <c r="J10" s="817">
        <v>0</v>
      </c>
      <c r="K10" s="817">
        <v>0</v>
      </c>
      <c r="L10" s="640">
        <f t="shared" si="5"/>
        <v>1099.73206</v>
      </c>
      <c r="M10" s="640">
        <f t="shared" si="5"/>
        <v>9873.9451499999996</v>
      </c>
      <c r="N10" s="125">
        <v>82.9</v>
      </c>
      <c r="O10" s="817">
        <v>0</v>
      </c>
      <c r="P10" s="640">
        <f>L10-M10</f>
        <v>-8774.2130899999993</v>
      </c>
      <c r="Q10" s="273">
        <v>2569.6615499999998</v>
      </c>
      <c r="S10" s="832">
        <v>3000.2377700000002</v>
      </c>
      <c r="T10" s="662">
        <f>M10+S10</f>
        <v>12874.182919999999</v>
      </c>
      <c r="U10" s="273">
        <v>3000.2377700000002</v>
      </c>
      <c r="Y10" t="s">
        <v>1381</v>
      </c>
      <c r="Z10" s="547">
        <f>L7+L19</f>
        <v>98412.562709999998</v>
      </c>
    </row>
    <row r="11" spans="1:26" ht="12.75" customHeight="1" x14ac:dyDescent="0.25">
      <c r="A11" s="1005">
        <f t="shared" ref="A11:A14" si="6">A10+1</f>
        <v>6</v>
      </c>
      <c r="B11" s="1006"/>
      <c r="C11" s="1429" t="s">
        <v>1230</v>
      </c>
      <c r="D11" s="1429"/>
      <c r="E11" s="1429"/>
      <c r="F11" s="1430"/>
      <c r="G11" s="919"/>
      <c r="H11" s="1125">
        <f>SUM(H12:H13)</f>
        <v>63691.50232</v>
      </c>
      <c r="I11" s="811">
        <f t="shared" ref="I11:M11" si="7">SUM(I12:I13)</f>
        <v>28754.955229999996</v>
      </c>
      <c r="J11" s="811">
        <f t="shared" si="7"/>
        <v>14577.27</v>
      </c>
      <c r="K11" s="811">
        <f t="shared" si="7"/>
        <v>92979.514649999997</v>
      </c>
      <c r="L11" s="811">
        <f t="shared" si="7"/>
        <v>78268.772320000004</v>
      </c>
      <c r="M11" s="811">
        <f t="shared" si="7"/>
        <v>121734.46987999999</v>
      </c>
      <c r="N11" s="811">
        <f>N13</f>
        <v>84.488888888888894</v>
      </c>
      <c r="O11" s="811">
        <f t="shared" ref="O11:Q11" si="8">SUM(O12:O13)</f>
        <v>0</v>
      </c>
      <c r="P11" s="811">
        <f t="shared" si="8"/>
        <v>-43465.697559999986</v>
      </c>
      <c r="Q11" s="812">
        <f t="shared" si="8"/>
        <v>0</v>
      </c>
      <c r="S11" s="813">
        <f t="shared" ref="S11:U11" si="9">SUM(S12:S13)</f>
        <v>0</v>
      </c>
      <c r="T11" s="812">
        <f t="shared" si="9"/>
        <v>121734.46987999999</v>
      </c>
      <c r="U11" s="814">
        <f t="shared" si="9"/>
        <v>0</v>
      </c>
    </row>
    <row r="12" spans="1:26" ht="10.9" hidden="1" customHeight="1" x14ac:dyDescent="0.25">
      <c r="A12" s="1157"/>
      <c r="B12" s="1256"/>
      <c r="C12" s="1146" t="s">
        <v>1231</v>
      </c>
      <c r="D12" s="1147"/>
      <c r="E12" s="1148"/>
      <c r="F12" s="1149"/>
      <c r="G12" s="1150"/>
      <c r="H12" s="1151"/>
      <c r="I12" s="1151"/>
      <c r="J12" s="1151"/>
      <c r="K12" s="1151"/>
      <c r="L12" s="1152">
        <f t="shared" ref="L12:L13" si="10">H12+J12</f>
        <v>0</v>
      </c>
      <c r="M12" s="1152">
        <f t="shared" ref="M12:M13" si="11">I12+K12</f>
        <v>0</v>
      </c>
      <c r="N12" s="1153"/>
      <c r="O12" s="1151"/>
      <c r="P12" s="1152">
        <f t="shared" ref="P12:P13" si="12">L12-M12</f>
        <v>0</v>
      </c>
      <c r="Q12" s="1154"/>
      <c r="S12" s="1155"/>
      <c r="T12" s="1156">
        <f t="shared" ref="T12:T13" si="13">M12+S12</f>
        <v>0</v>
      </c>
      <c r="U12" s="1154"/>
      <c r="W12" t="s">
        <v>1243</v>
      </c>
    </row>
    <row r="13" spans="1:26" ht="12.75" customHeight="1" x14ac:dyDescent="0.25">
      <c r="A13" s="1007">
        <f>A11+1</f>
        <v>7</v>
      </c>
      <c r="B13" s="1255"/>
      <c r="C13" s="1013" t="s">
        <v>1232</v>
      </c>
      <c r="D13" s="818"/>
      <c r="E13" s="816"/>
      <c r="F13" s="1010"/>
      <c r="G13" s="1011"/>
      <c r="H13" s="817">
        <v>63691.50232</v>
      </c>
      <c r="I13" s="817">
        <v>28754.955229999996</v>
      </c>
      <c r="J13" s="817">
        <v>14577.27</v>
      </c>
      <c r="K13" s="817">
        <v>92979.514649999997</v>
      </c>
      <c r="L13" s="659">
        <f t="shared" si="10"/>
        <v>78268.772320000004</v>
      </c>
      <c r="M13" s="659">
        <f t="shared" si="11"/>
        <v>121734.46987999999</v>
      </c>
      <c r="N13" s="1012">
        <v>84.488888888888894</v>
      </c>
      <c r="O13" s="817">
        <v>0</v>
      </c>
      <c r="P13" s="659">
        <f t="shared" si="12"/>
        <v>-43465.697559999986</v>
      </c>
      <c r="Q13" s="273">
        <v>0</v>
      </c>
      <c r="S13" s="832">
        <v>0</v>
      </c>
      <c r="T13" s="662">
        <f t="shared" si="13"/>
        <v>121734.46987999999</v>
      </c>
      <c r="U13" s="273">
        <v>0</v>
      </c>
      <c r="Y13" t="s">
        <v>1382</v>
      </c>
      <c r="Z13" s="547">
        <f>L11+L23</f>
        <v>860660.87365999992</v>
      </c>
    </row>
    <row r="14" spans="1:26" ht="12.75" customHeight="1" x14ac:dyDescent="0.25">
      <c r="A14" s="1005">
        <f t="shared" si="6"/>
        <v>8</v>
      </c>
      <c r="B14" s="1006"/>
      <c r="C14" s="1429" t="s">
        <v>1321</v>
      </c>
      <c r="D14" s="1429"/>
      <c r="E14" s="1429"/>
      <c r="F14" s="1430"/>
      <c r="G14" s="919"/>
      <c r="H14" s="811">
        <f t="shared" ref="H14:M14" si="14">SUM(H15:H17)</f>
        <v>86389.832899999979</v>
      </c>
      <c r="I14" s="811">
        <f t="shared" si="14"/>
        <v>84144.581360000011</v>
      </c>
      <c r="J14" s="811">
        <f t="shared" si="14"/>
        <v>1674146.62845</v>
      </c>
      <c r="K14" s="811">
        <f t="shared" si="14"/>
        <v>1681812.37785</v>
      </c>
      <c r="L14" s="811">
        <f t="shared" si="14"/>
        <v>1760536.46135</v>
      </c>
      <c r="M14" s="811">
        <f t="shared" si="14"/>
        <v>1765956.9592100002</v>
      </c>
      <c r="N14" s="811">
        <f>(N16+N17)/2</f>
        <v>93.166666666666657</v>
      </c>
      <c r="O14" s="811">
        <f>SUM(O15:O17)</f>
        <v>441.40654000000001</v>
      </c>
      <c r="P14" s="811">
        <f>SUM(P15:P17)</f>
        <v>-5420.4978600001486</v>
      </c>
      <c r="Q14" s="812">
        <f>SUM(Q15:Q17)</f>
        <v>1293.08467</v>
      </c>
      <c r="S14" s="813">
        <f>SUM(S15:S17)</f>
        <v>0</v>
      </c>
      <c r="T14" s="812">
        <f>SUM(T15:T17)</f>
        <v>1765956.9592100002</v>
      </c>
      <c r="U14" s="814">
        <f>SUM(U15:U17)</f>
        <v>0</v>
      </c>
    </row>
    <row r="15" spans="1:26" s="170" customFormat="1" ht="10.5" hidden="1" customHeight="1" x14ac:dyDescent="0.25">
      <c r="A15" s="1138">
        <f>A14+1</f>
        <v>9</v>
      </c>
      <c r="B15" s="1133"/>
      <c r="C15" s="1257" t="s">
        <v>1322</v>
      </c>
      <c r="D15" s="1131"/>
      <c r="E15" s="1132"/>
      <c r="F15" s="1026"/>
      <c r="G15" s="1011"/>
      <c r="H15" s="1188">
        <v>0</v>
      </c>
      <c r="I15" s="1188">
        <v>0</v>
      </c>
      <c r="J15" s="817">
        <v>0</v>
      </c>
      <c r="K15" s="817">
        <v>0</v>
      </c>
      <c r="L15" s="659">
        <f t="shared" ref="L15" si="15">H15+J15</f>
        <v>0</v>
      </c>
      <c r="M15" s="659">
        <f t="shared" ref="M15" si="16">I15+K15</f>
        <v>0</v>
      </c>
      <c r="N15" s="1200">
        <v>0</v>
      </c>
      <c r="O15" s="817">
        <v>0</v>
      </c>
      <c r="P15" s="659">
        <f t="shared" ref="P15:P17" si="17">L15-M15</f>
        <v>0</v>
      </c>
      <c r="Q15" s="273">
        <v>0</v>
      </c>
      <c r="S15" s="832">
        <v>0</v>
      </c>
      <c r="T15" s="662">
        <f t="shared" ref="T15:T17" si="18">M15+S15</f>
        <v>0</v>
      </c>
      <c r="U15" s="273">
        <v>0</v>
      </c>
      <c r="Y15" s="170" t="s">
        <v>1383</v>
      </c>
      <c r="Z15" s="626">
        <f>L14+L27</f>
        <v>2157173.0983500001</v>
      </c>
    </row>
    <row r="16" spans="1:26" s="170" customFormat="1" ht="12.75" customHeight="1" x14ac:dyDescent="0.25">
      <c r="A16" s="1138">
        <f>A14+1</f>
        <v>9</v>
      </c>
      <c r="B16" s="1133"/>
      <c r="C16" s="1257" t="s">
        <v>1323</v>
      </c>
      <c r="D16" s="1131"/>
      <c r="E16" s="1132"/>
      <c r="F16" s="1026"/>
      <c r="G16" s="1011"/>
      <c r="H16" s="1188">
        <v>18403.143199999999</v>
      </c>
      <c r="I16" s="1188">
        <v>17678.951670000002</v>
      </c>
      <c r="J16" s="817">
        <v>1670328.21505</v>
      </c>
      <c r="K16" s="817">
        <v>1677993.9644500001</v>
      </c>
      <c r="L16" s="659">
        <f t="shared" ref="L16" si="19">H16+J16</f>
        <v>1688731.35825</v>
      </c>
      <c r="M16" s="659">
        <f t="shared" ref="M16" si="20">I16+K16</f>
        <v>1695672.9161200002</v>
      </c>
      <c r="N16" s="1200">
        <v>86.333333333333329</v>
      </c>
      <c r="O16" s="817">
        <v>441.40654000000001</v>
      </c>
      <c r="P16" s="659">
        <f t="shared" si="17"/>
        <v>-6941.5578700001352</v>
      </c>
      <c r="Q16" s="273">
        <v>1019.39207</v>
      </c>
      <c r="S16" s="832">
        <v>0</v>
      </c>
      <c r="T16" s="662">
        <f t="shared" si="18"/>
        <v>1695672.9161200002</v>
      </c>
      <c r="U16" s="273">
        <v>0</v>
      </c>
    </row>
    <row r="17" spans="1:23" s="170" customFormat="1" ht="12.75" customHeight="1" x14ac:dyDescent="0.25">
      <c r="A17" s="1138">
        <f>A16+1</f>
        <v>10</v>
      </c>
      <c r="B17" s="1133"/>
      <c r="C17" s="1257" t="s">
        <v>1324</v>
      </c>
      <c r="D17" s="1131"/>
      <c r="E17" s="1132"/>
      <c r="F17" s="1026"/>
      <c r="G17" s="1011"/>
      <c r="H17" s="1199">
        <v>67986.689699999988</v>
      </c>
      <c r="I17" s="1199">
        <v>66465.629690000002</v>
      </c>
      <c r="J17" s="125">
        <v>3818.4134000000004</v>
      </c>
      <c r="K17" s="125">
        <v>3818.4134000000004</v>
      </c>
      <c r="L17" s="640">
        <f t="shared" ref="L17" si="21">H17+J17</f>
        <v>71805.103099999993</v>
      </c>
      <c r="M17" s="640">
        <f t="shared" ref="M17" si="22">I17+K17</f>
        <v>70284.043090000006</v>
      </c>
      <c r="N17" s="125">
        <v>100</v>
      </c>
      <c r="O17" s="125">
        <v>0</v>
      </c>
      <c r="P17" s="640">
        <f t="shared" si="17"/>
        <v>1521.0600099999865</v>
      </c>
      <c r="Q17" s="269">
        <v>273.69259999999997</v>
      </c>
      <c r="S17" s="834">
        <v>0</v>
      </c>
      <c r="T17" s="662">
        <f t="shared" si="18"/>
        <v>70284.043090000006</v>
      </c>
      <c r="U17" s="1145">
        <v>0</v>
      </c>
    </row>
    <row r="18" spans="1:23" ht="12.75" customHeight="1" x14ac:dyDescent="0.25">
      <c r="A18" s="1015">
        <f>A17+1</f>
        <v>11</v>
      </c>
      <c r="B18" s="1258">
        <v>6</v>
      </c>
      <c r="C18" s="1447" t="s">
        <v>1055</v>
      </c>
      <c r="D18" s="1447"/>
      <c r="E18" s="1447"/>
      <c r="F18" s="1448"/>
      <c r="G18" s="1017" t="s">
        <v>459</v>
      </c>
      <c r="H18" s="663">
        <f>SUM(H19,H23,H27)</f>
        <v>843196.32046999992</v>
      </c>
      <c r="I18" s="663">
        <f t="shared" ref="I18:M18" si="23">SUM(I19,I23,I27)</f>
        <v>639804.86647799995</v>
      </c>
      <c r="J18" s="663">
        <f t="shared" si="23"/>
        <v>337424.46575999999</v>
      </c>
      <c r="K18" s="663">
        <f t="shared" si="23"/>
        <v>247099.61399000001</v>
      </c>
      <c r="L18" s="663">
        <f t="shared" si="23"/>
        <v>1180620.78623</v>
      </c>
      <c r="M18" s="663">
        <f t="shared" si="23"/>
        <v>886904.48046800005</v>
      </c>
      <c r="N18" s="663">
        <f>AVERAGE(N19,N23,N27)</f>
        <v>80.587106666666671</v>
      </c>
      <c r="O18" s="663">
        <f t="shared" ref="O18:Q18" si="24">SUM(O19,O23,O27)</f>
        <v>374274.51276999997</v>
      </c>
      <c r="P18" s="663">
        <f t="shared" si="24"/>
        <v>293716.30576199992</v>
      </c>
      <c r="Q18" s="785">
        <f t="shared" si="24"/>
        <v>7276.0834200000008</v>
      </c>
      <c r="S18" s="786">
        <f t="shared" ref="S18:U18" si="25">SUM(S19,S23,S27)</f>
        <v>0</v>
      </c>
      <c r="T18" s="785">
        <f t="shared" si="25"/>
        <v>886904.48046800005</v>
      </c>
      <c r="U18" s="785">
        <f t="shared" si="25"/>
        <v>0</v>
      </c>
    </row>
    <row r="19" spans="1:23" ht="12.75" customHeight="1" x14ac:dyDescent="0.25">
      <c r="A19" s="1005">
        <f t="shared" si="3"/>
        <v>12</v>
      </c>
      <c r="B19" s="1006"/>
      <c r="C19" s="1429" t="s">
        <v>1162</v>
      </c>
      <c r="D19" s="1429"/>
      <c r="E19" s="1429"/>
      <c r="F19" s="1430"/>
      <c r="G19" s="1018" t="s">
        <v>459</v>
      </c>
      <c r="H19" s="811">
        <f t="shared" ref="H19:M19" si="26">SUM(H20:H22)</f>
        <v>1592.2462</v>
      </c>
      <c r="I19" s="811">
        <f t="shared" si="26"/>
        <v>3045.0436</v>
      </c>
      <c r="J19" s="811">
        <f t="shared" si="26"/>
        <v>-0.19830999999999999</v>
      </c>
      <c r="K19" s="811">
        <f t="shared" si="26"/>
        <v>0</v>
      </c>
      <c r="L19" s="811">
        <f t="shared" si="26"/>
        <v>1592.0478900000001</v>
      </c>
      <c r="M19" s="811">
        <f t="shared" si="26"/>
        <v>3045.0436</v>
      </c>
      <c r="N19" s="811">
        <f>AVERAGE(N20:N22)</f>
        <v>60.761319999999998</v>
      </c>
      <c r="O19" s="811">
        <f>SUM(O20:O22)</f>
        <v>0</v>
      </c>
      <c r="P19" s="811">
        <f>SUM(P20:P22)</f>
        <v>-1452.9957099999997</v>
      </c>
      <c r="Q19" s="812">
        <f>SUM(Q20:Q22)</f>
        <v>7276.0834200000008</v>
      </c>
      <c r="S19" s="813">
        <f>SUM(S20:S22)</f>
        <v>0</v>
      </c>
      <c r="T19" s="812">
        <f>SUM(T20:T22)</f>
        <v>3045.0436</v>
      </c>
      <c r="U19" s="814">
        <f>SUM(U20:U22)</f>
        <v>0</v>
      </c>
    </row>
    <row r="20" spans="1:23" ht="12.75" customHeight="1" x14ac:dyDescent="0.25">
      <c r="A20" s="49">
        <f t="shared" si="3"/>
        <v>13</v>
      </c>
      <c r="B20" s="1259"/>
      <c r="C20" s="1013" t="s">
        <v>750</v>
      </c>
      <c r="D20" s="815"/>
      <c r="E20" s="816"/>
      <c r="F20" s="1010"/>
      <c r="G20" s="1011" t="s">
        <v>459</v>
      </c>
      <c r="H20" s="1188">
        <v>1372.1565800000001</v>
      </c>
      <c r="I20" s="1188">
        <v>2803.7185799999997</v>
      </c>
      <c r="J20" s="817">
        <v>-0.19830999999999999</v>
      </c>
      <c r="K20" s="817">
        <v>0</v>
      </c>
      <c r="L20" s="659">
        <f t="shared" ref="L20:M22" si="27">H20+J20</f>
        <v>1371.9582700000001</v>
      </c>
      <c r="M20" s="659">
        <f t="shared" si="27"/>
        <v>2803.7185799999997</v>
      </c>
      <c r="N20" s="1012">
        <v>71</v>
      </c>
      <c r="O20" s="817">
        <v>0</v>
      </c>
      <c r="P20" s="659">
        <f>L20-M20</f>
        <v>-1431.7603099999997</v>
      </c>
      <c r="Q20" s="273">
        <v>7276.0834200000008</v>
      </c>
      <c r="R20">
        <v>0</v>
      </c>
      <c r="S20" s="832">
        <v>0</v>
      </c>
      <c r="T20" s="660">
        <f>M20+S20</f>
        <v>2803.7185799999997</v>
      </c>
      <c r="U20" s="273">
        <v>0</v>
      </c>
      <c r="W20" s="661"/>
    </row>
    <row r="21" spans="1:23" ht="12.75" customHeight="1" x14ac:dyDescent="0.25">
      <c r="A21" s="49">
        <f t="shared" si="3"/>
        <v>14</v>
      </c>
      <c r="B21" s="1259"/>
      <c r="C21" s="1013" t="s">
        <v>751</v>
      </c>
      <c r="D21" s="818"/>
      <c r="E21" s="816"/>
      <c r="F21" s="1010"/>
      <c r="G21" s="1011" t="s">
        <v>459</v>
      </c>
      <c r="H21" s="1188">
        <v>220.08962</v>
      </c>
      <c r="I21" s="1188">
        <v>241.32501999999999</v>
      </c>
      <c r="J21" s="817">
        <v>0</v>
      </c>
      <c r="K21" s="817">
        <v>0</v>
      </c>
      <c r="L21" s="659">
        <f t="shared" si="27"/>
        <v>220.08962</v>
      </c>
      <c r="M21" s="659">
        <f t="shared" si="27"/>
        <v>241.32501999999999</v>
      </c>
      <c r="N21" s="1012">
        <v>50.522640000000003</v>
      </c>
      <c r="O21" s="817">
        <v>0</v>
      </c>
      <c r="P21" s="659">
        <f>L21-M21</f>
        <v>-21.235399999999998</v>
      </c>
      <c r="Q21" s="273">
        <v>0</v>
      </c>
      <c r="R21">
        <v>0</v>
      </c>
      <c r="S21" s="832">
        <v>0</v>
      </c>
      <c r="T21" s="660">
        <f>M21+S21</f>
        <v>241.32501999999999</v>
      </c>
      <c r="U21" s="273">
        <v>0</v>
      </c>
    </row>
    <row r="22" spans="1:23" ht="12.75" hidden="1" customHeight="1" x14ac:dyDescent="0.25">
      <c r="A22" s="49"/>
      <c r="B22" s="1259"/>
      <c r="C22" s="1013" t="s">
        <v>1163</v>
      </c>
      <c r="D22" s="818"/>
      <c r="E22" s="819"/>
      <c r="F22" s="1014"/>
      <c r="G22" s="1011" t="s">
        <v>459</v>
      </c>
      <c r="H22" s="1188"/>
      <c r="I22" s="1188"/>
      <c r="J22" s="817"/>
      <c r="K22" s="817"/>
      <c r="L22" s="640">
        <f t="shared" si="27"/>
        <v>0</v>
      </c>
      <c r="M22" s="640">
        <f t="shared" si="27"/>
        <v>0</v>
      </c>
      <c r="N22" s="125"/>
      <c r="O22" s="817"/>
      <c r="P22" s="640">
        <f>L22-M22</f>
        <v>0</v>
      </c>
      <c r="Q22" s="273"/>
      <c r="R22">
        <v>0</v>
      </c>
      <c r="S22" s="832"/>
      <c r="T22" s="662">
        <f>M22+S22</f>
        <v>0</v>
      </c>
      <c r="U22" s="273"/>
    </row>
    <row r="23" spans="1:23" ht="12.75" customHeight="1" x14ac:dyDescent="0.25">
      <c r="A23" s="1005">
        <f>A21+1</f>
        <v>15</v>
      </c>
      <c r="B23" s="1006"/>
      <c r="C23" s="1429" t="s">
        <v>1230</v>
      </c>
      <c r="D23" s="1429"/>
      <c r="E23" s="1429"/>
      <c r="F23" s="1430"/>
      <c r="G23" s="1018" t="s">
        <v>459</v>
      </c>
      <c r="H23" s="1125">
        <f>SUM(H24:H25)</f>
        <v>480464.97926999995</v>
      </c>
      <c r="I23" s="811">
        <f t="shared" ref="I23:M23" si="28">SUM(I24:I25)</f>
        <v>276271.93111799995</v>
      </c>
      <c r="J23" s="811">
        <f t="shared" si="28"/>
        <v>301927.12206999998</v>
      </c>
      <c r="K23" s="811">
        <f t="shared" si="28"/>
        <v>211691.33056</v>
      </c>
      <c r="L23" s="811">
        <f t="shared" si="28"/>
        <v>782392.10133999994</v>
      </c>
      <c r="M23" s="811">
        <f t="shared" si="28"/>
        <v>487963.26167799998</v>
      </c>
      <c r="N23" s="811">
        <v>81</v>
      </c>
      <c r="O23" s="811">
        <f t="shared" ref="O23:Q23" si="29">SUM(O24:O25)</f>
        <v>129131.62100999999</v>
      </c>
      <c r="P23" s="811">
        <f t="shared" si="29"/>
        <v>294428.83966199995</v>
      </c>
      <c r="Q23" s="812">
        <f t="shared" si="29"/>
        <v>0</v>
      </c>
      <c r="S23" s="813">
        <f t="shared" ref="S23:U23" si="30">SUM(S24:S25)</f>
        <v>0</v>
      </c>
      <c r="T23" s="812">
        <f t="shared" si="30"/>
        <v>487963.26167799998</v>
      </c>
      <c r="U23" s="814">
        <f t="shared" si="30"/>
        <v>0</v>
      </c>
    </row>
    <row r="24" spans="1:23" ht="12.75" customHeight="1" x14ac:dyDescent="0.25">
      <c r="A24" s="1007">
        <f t="shared" ref="A24:A28" si="31">A23+1</f>
        <v>16</v>
      </c>
      <c r="B24" s="1255"/>
      <c r="C24" s="1013" t="s">
        <v>1231</v>
      </c>
      <c r="D24" s="1131"/>
      <c r="E24" s="1132"/>
      <c r="F24" s="1026"/>
      <c r="G24" s="1011" t="s">
        <v>459</v>
      </c>
      <c r="H24" s="817">
        <v>480464.97926999995</v>
      </c>
      <c r="I24" s="817">
        <v>276271.93111799995</v>
      </c>
      <c r="J24" s="817">
        <v>301927.12206999998</v>
      </c>
      <c r="K24" s="817">
        <v>211691.33056</v>
      </c>
      <c r="L24" s="659">
        <f t="shared" ref="L24" si="32">H24+J24</f>
        <v>782392.10133999994</v>
      </c>
      <c r="M24" s="659">
        <f t="shared" ref="M24" si="33">I24+K24</f>
        <v>487963.26167799998</v>
      </c>
      <c r="N24" s="1012">
        <v>81.410123809523824</v>
      </c>
      <c r="O24" s="817">
        <v>129131.62100999999</v>
      </c>
      <c r="P24" s="659">
        <f>L24-M24</f>
        <v>294428.83966199995</v>
      </c>
      <c r="Q24" s="273">
        <v>0</v>
      </c>
      <c r="S24" s="832">
        <v>0</v>
      </c>
      <c r="T24" s="662">
        <f>M24+S24</f>
        <v>487963.26167799998</v>
      </c>
      <c r="U24" s="273">
        <v>0</v>
      </c>
    </row>
    <row r="25" spans="1:23" ht="10.9" hidden="1" customHeight="1" x14ac:dyDescent="0.25">
      <c r="A25" s="1157"/>
      <c r="B25" s="1256"/>
      <c r="C25" s="1146" t="s">
        <v>1236</v>
      </c>
      <c r="D25" s="1147"/>
      <c r="E25" s="1148"/>
      <c r="F25" s="1149"/>
      <c r="G25" s="1150" t="s">
        <v>459</v>
      </c>
      <c r="H25" s="1151"/>
      <c r="I25" s="1151"/>
      <c r="J25" s="1151"/>
      <c r="K25" s="1151"/>
      <c r="L25" s="1152">
        <f t="shared" ref="L25" si="34">H25+J25</f>
        <v>0</v>
      </c>
      <c r="M25" s="1152">
        <f t="shared" ref="M25" si="35">I25+K25</f>
        <v>0</v>
      </c>
      <c r="N25" s="1153"/>
      <c r="O25" s="1151"/>
      <c r="P25" s="1152">
        <f>L25-M25</f>
        <v>0</v>
      </c>
      <c r="Q25" s="1154"/>
      <c r="S25" s="1155"/>
      <c r="T25" s="1156">
        <f>M25+S25</f>
        <v>0</v>
      </c>
      <c r="U25" s="1154"/>
      <c r="W25" t="s">
        <v>1243</v>
      </c>
    </row>
    <row r="26" spans="1:23" ht="10.9" hidden="1" customHeight="1" x14ac:dyDescent="0.25">
      <c r="A26" s="1005"/>
      <c r="B26" s="1006"/>
      <c r="C26" s="1429"/>
      <c r="D26" s="1429"/>
      <c r="E26" s="1429"/>
      <c r="F26" s="1430"/>
      <c r="G26" s="1018"/>
      <c r="H26" s="1125"/>
      <c r="I26" s="811"/>
      <c r="J26" s="811"/>
      <c r="K26" s="811"/>
      <c r="L26" s="811">
        <f t="shared" ref="L26" si="36">H26+J26</f>
        <v>0</v>
      </c>
      <c r="M26" s="811">
        <f t="shared" ref="M26" si="37">I26+K26</f>
        <v>0</v>
      </c>
      <c r="N26" s="811"/>
      <c r="O26" s="811"/>
      <c r="P26" s="811">
        <f>L26-M26</f>
        <v>0</v>
      </c>
      <c r="Q26" s="812"/>
      <c r="S26" s="813"/>
      <c r="T26" s="812">
        <f>M26+S26</f>
        <v>0</v>
      </c>
      <c r="U26" s="814"/>
    </row>
    <row r="27" spans="1:23" ht="12.75" customHeight="1" x14ac:dyDescent="0.25">
      <c r="A27" s="1005">
        <f>A24+1</f>
        <v>17</v>
      </c>
      <c r="B27" s="1006"/>
      <c r="C27" s="1429" t="s">
        <v>1321</v>
      </c>
      <c r="D27" s="1429"/>
      <c r="E27" s="1429"/>
      <c r="F27" s="1430"/>
      <c r="G27" s="1041" t="s">
        <v>459</v>
      </c>
      <c r="H27" s="1125">
        <f>SUM(H28:H29)</f>
        <v>361139.09499999997</v>
      </c>
      <c r="I27" s="811">
        <f t="shared" ref="I27" si="38">SUM(I28:I29)</f>
        <v>360487.89176000003</v>
      </c>
      <c r="J27" s="811">
        <f t="shared" ref="J27" si="39">SUM(J28:J29)</f>
        <v>35497.542000000001</v>
      </c>
      <c r="K27" s="811">
        <f t="shared" ref="K27" si="40">SUM(K28:K29)</f>
        <v>35408.283430000003</v>
      </c>
      <c r="L27" s="811">
        <f t="shared" ref="L27" si="41">SUM(L28:L29)</f>
        <v>396636.63699999999</v>
      </c>
      <c r="M27" s="811">
        <f t="shared" ref="M27" si="42">SUM(M28:M29)</f>
        <v>395896.17519000004</v>
      </c>
      <c r="N27" s="811">
        <v>100</v>
      </c>
      <c r="O27" s="811">
        <f t="shared" ref="O27" si="43">SUM(O28:O29)</f>
        <v>245142.89176</v>
      </c>
      <c r="P27" s="811">
        <f t="shared" ref="P27" si="44">SUM(P28:P29)</f>
        <v>740.46180999994976</v>
      </c>
      <c r="Q27" s="812">
        <f t="shared" ref="Q27" si="45">SUM(Q28:Q29)</f>
        <v>0</v>
      </c>
      <c r="S27" s="813">
        <f t="shared" ref="S27" si="46">SUM(S28:S29)</f>
        <v>0</v>
      </c>
      <c r="T27" s="812">
        <f t="shared" ref="T27" si="47">SUM(T28:T29)</f>
        <v>395896.17519000004</v>
      </c>
      <c r="U27" s="814">
        <f t="shared" ref="U27" si="48">SUM(U28:U29)</f>
        <v>0</v>
      </c>
    </row>
    <row r="28" spans="1:23" ht="12.75" customHeight="1" x14ac:dyDescent="0.25">
      <c r="A28" s="1143">
        <f t="shared" si="31"/>
        <v>18</v>
      </c>
      <c r="B28" s="1133"/>
      <c r="C28" s="1131" t="s">
        <v>1325</v>
      </c>
      <c r="D28" s="1131"/>
      <c r="E28" s="1132"/>
      <c r="F28" s="1026"/>
      <c r="G28" s="1011" t="s">
        <v>459</v>
      </c>
      <c r="H28" s="1134">
        <v>361139.09499999997</v>
      </c>
      <c r="I28" s="1134">
        <v>360487.89176000003</v>
      </c>
      <c r="J28" s="1134">
        <v>35497.542000000001</v>
      </c>
      <c r="K28" s="1134">
        <v>35408.283430000003</v>
      </c>
      <c r="L28" s="640">
        <f t="shared" ref="L28:L29" si="49">H28+J28</f>
        <v>396636.63699999999</v>
      </c>
      <c r="M28" s="640">
        <f t="shared" ref="M28:M29" si="50">I28+K28</f>
        <v>395896.17519000004</v>
      </c>
      <c r="N28" s="997">
        <v>100</v>
      </c>
      <c r="O28" s="1135">
        <v>245142.89176</v>
      </c>
      <c r="P28" s="640">
        <f t="shared" ref="P28:P29" si="51">L28-M28</f>
        <v>740.46180999994976</v>
      </c>
      <c r="Q28" s="1136">
        <v>0</v>
      </c>
      <c r="S28" s="1137">
        <v>0</v>
      </c>
      <c r="T28" s="662">
        <f t="shared" ref="T28:T29" si="52">M28+S28</f>
        <v>395896.17519000004</v>
      </c>
      <c r="U28" s="1136">
        <v>0</v>
      </c>
      <c r="W28" s="837" t="s">
        <v>1198</v>
      </c>
    </row>
    <row r="29" spans="1:23" ht="10.9" hidden="1" customHeight="1" x14ac:dyDescent="0.25">
      <c r="A29" s="1140"/>
      <c r="B29" s="1133"/>
      <c r="C29" s="1260" t="s">
        <v>1326</v>
      </c>
      <c r="D29" s="1261"/>
      <c r="E29" s="1262"/>
      <c r="F29" s="1263"/>
      <c r="G29" s="1011" t="s">
        <v>459</v>
      </c>
      <c r="H29" s="1134"/>
      <c r="I29" s="1135"/>
      <c r="J29" s="1135"/>
      <c r="K29" s="1135"/>
      <c r="L29" s="640">
        <f t="shared" si="49"/>
        <v>0</v>
      </c>
      <c r="M29" s="640">
        <f t="shared" si="50"/>
        <v>0</v>
      </c>
      <c r="N29" s="997"/>
      <c r="O29" s="1135"/>
      <c r="P29" s="640">
        <f t="shared" si="51"/>
        <v>0</v>
      </c>
      <c r="Q29" s="1136"/>
      <c r="S29" s="1137"/>
      <c r="T29" s="662">
        <f t="shared" si="52"/>
        <v>0</v>
      </c>
      <c r="U29" s="1136"/>
      <c r="W29" t="s">
        <v>1237</v>
      </c>
    </row>
    <row r="30" spans="1:23" ht="12.75" customHeight="1" x14ac:dyDescent="0.25">
      <c r="A30" s="1015">
        <f>A28+1</f>
        <v>19</v>
      </c>
      <c r="B30" s="1258">
        <v>15</v>
      </c>
      <c r="C30" s="1447" t="s">
        <v>1319</v>
      </c>
      <c r="D30" s="1447"/>
      <c r="E30" s="1447"/>
      <c r="F30" s="1448"/>
      <c r="G30" s="1020"/>
      <c r="H30" s="663">
        <f>SUM(H31,H34,H37,H39,H41,H43,H45,H47)</f>
        <v>9931.2189800000015</v>
      </c>
      <c r="I30" s="663">
        <f t="shared" ref="I30:M30" si="53">SUM(I31,I34,I37,I39,I41,I43,I45,I47)</f>
        <v>8131.7748499999998</v>
      </c>
      <c r="J30" s="663">
        <f t="shared" si="53"/>
        <v>11665.7156</v>
      </c>
      <c r="K30" s="663">
        <f t="shared" si="53"/>
        <v>6707.7156000000004</v>
      </c>
      <c r="L30" s="1021">
        <f t="shared" si="53"/>
        <v>21596.934580000001</v>
      </c>
      <c r="M30" s="663">
        <f t="shared" si="53"/>
        <v>14839.490449999999</v>
      </c>
      <c r="N30" s="663">
        <f>AVERAGE(N31,N34,N37,N43,N45)</f>
        <v>81</v>
      </c>
      <c r="O30" s="663">
        <f t="shared" ref="O30:Q30" si="54">SUM(O31,O34,O37,O39,O41,O43,O45,O47)</f>
        <v>1044.0621100000001</v>
      </c>
      <c r="P30" s="663">
        <f t="shared" si="54"/>
        <v>6757.4441299999999</v>
      </c>
      <c r="Q30" s="785">
        <f t="shared" si="54"/>
        <v>0</v>
      </c>
      <c r="S30" s="786">
        <f t="shared" ref="S30:U30" si="55">SUM(S31,S34,S37,S39,S41,S43,S45,S47)</f>
        <v>0</v>
      </c>
      <c r="T30" s="785">
        <f t="shared" si="55"/>
        <v>14839.490449999999</v>
      </c>
      <c r="U30" s="785">
        <f t="shared" si="55"/>
        <v>0</v>
      </c>
    </row>
    <row r="31" spans="1:23" ht="12.75" customHeight="1" x14ac:dyDescent="0.25">
      <c r="A31" s="1005">
        <f t="shared" si="3"/>
        <v>20</v>
      </c>
      <c r="B31" s="1006"/>
      <c r="C31" s="1429" t="s">
        <v>920</v>
      </c>
      <c r="D31" s="1429"/>
      <c r="E31" s="1429"/>
      <c r="F31" s="1430"/>
      <c r="G31" s="1018"/>
      <c r="H31" s="823">
        <f t="shared" ref="H31:M31" si="56">SUM(H32:H33)</f>
        <v>1409.8880800000002</v>
      </c>
      <c r="I31" s="811">
        <f t="shared" si="56"/>
        <v>1103.76477</v>
      </c>
      <c r="J31" s="811">
        <f t="shared" si="56"/>
        <v>0</v>
      </c>
      <c r="K31" s="811">
        <f t="shared" si="56"/>
        <v>0</v>
      </c>
      <c r="L31" s="811">
        <f t="shared" si="56"/>
        <v>1409.8880800000002</v>
      </c>
      <c r="M31" s="811">
        <f t="shared" si="56"/>
        <v>1103.76477</v>
      </c>
      <c r="N31" s="811">
        <v>48</v>
      </c>
      <c r="O31" s="811">
        <f>SUM(O32:O33)</f>
        <v>0</v>
      </c>
      <c r="P31" s="811">
        <f>SUM(P32:P33)</f>
        <v>306.12331000000017</v>
      </c>
      <c r="Q31" s="812">
        <f>SUM(Q32:Q33)</f>
        <v>0</v>
      </c>
      <c r="S31" s="813">
        <f>SUM(S32:S33)</f>
        <v>0</v>
      </c>
      <c r="T31" s="812">
        <f>SUM(T32:T33)</f>
        <v>1103.76477</v>
      </c>
      <c r="U31" s="814">
        <f>SUM(U32:U33)</f>
        <v>0</v>
      </c>
    </row>
    <row r="32" spans="1:23" ht="12.75" customHeight="1" x14ac:dyDescent="0.25">
      <c r="A32" s="1007">
        <f t="shared" si="3"/>
        <v>21</v>
      </c>
      <c r="B32" s="1255"/>
      <c r="C32" s="1013" t="s">
        <v>900</v>
      </c>
      <c r="D32" s="1131"/>
      <c r="E32" s="1131"/>
      <c r="F32" s="1131"/>
      <c r="G32" s="1011"/>
      <c r="H32" s="1188">
        <v>1409.8880800000002</v>
      </c>
      <c r="I32" s="1188">
        <v>1103.76477</v>
      </c>
      <c r="J32" s="817">
        <v>0</v>
      </c>
      <c r="K32" s="817">
        <v>0</v>
      </c>
      <c r="L32" s="659">
        <f>H32+J32</f>
        <v>1409.8880800000002</v>
      </c>
      <c r="M32" s="659">
        <f>I32+K32</f>
        <v>1103.76477</v>
      </c>
      <c r="N32" s="1012">
        <v>47.5</v>
      </c>
      <c r="O32" s="125">
        <v>0</v>
      </c>
      <c r="P32" s="640">
        <f>L32-M32</f>
        <v>306.12331000000017</v>
      </c>
      <c r="Q32" s="273">
        <v>0</v>
      </c>
      <c r="R32">
        <v>0</v>
      </c>
      <c r="S32" s="832">
        <v>0</v>
      </c>
      <c r="T32" s="660">
        <f>M32+S32</f>
        <v>1103.76477</v>
      </c>
      <c r="U32" s="273">
        <v>0</v>
      </c>
      <c r="W32" s="837" t="s">
        <v>1198</v>
      </c>
    </row>
    <row r="33" spans="1:23" ht="10.9" hidden="1" customHeight="1" x14ac:dyDescent="0.25">
      <c r="A33" s="1141"/>
      <c r="B33" s="1255"/>
      <c r="C33" s="1142" t="s">
        <v>1164</v>
      </c>
      <c r="D33" s="1426" t="s">
        <v>1165</v>
      </c>
      <c r="E33" s="1427"/>
      <c r="F33" s="1428"/>
      <c r="G33" s="1022"/>
      <c r="H33" s="817"/>
      <c r="I33" s="817"/>
      <c r="J33" s="821"/>
      <c r="K33" s="1023"/>
      <c r="L33" s="659">
        <f>H33+J33</f>
        <v>0</v>
      </c>
      <c r="M33" s="659">
        <f>I33+K33</f>
        <v>0</v>
      </c>
      <c r="N33" s="1012"/>
      <c r="O33" s="821"/>
      <c r="P33" s="1024">
        <f>L33-M33</f>
        <v>0</v>
      </c>
      <c r="Q33" s="273"/>
      <c r="R33">
        <v>0</v>
      </c>
      <c r="S33" s="832"/>
      <c r="T33" s="668">
        <f>M33+S33</f>
        <v>0</v>
      </c>
      <c r="U33" s="273"/>
      <c r="W33" t="s">
        <v>1237</v>
      </c>
    </row>
    <row r="34" spans="1:23" ht="12.75" customHeight="1" x14ac:dyDescent="0.25">
      <c r="A34" s="1005">
        <f>A32+1</f>
        <v>22</v>
      </c>
      <c r="B34" s="1006"/>
      <c r="C34" s="1429" t="s">
        <v>1056</v>
      </c>
      <c r="D34" s="1429"/>
      <c r="E34" s="1429"/>
      <c r="F34" s="1430"/>
      <c r="G34" s="1018"/>
      <c r="H34" s="823">
        <f t="shared" ref="H34:M34" si="57">H35+H36</f>
        <v>4439.5030000000006</v>
      </c>
      <c r="I34" s="811">
        <f t="shared" si="57"/>
        <v>4098.16255</v>
      </c>
      <c r="J34" s="811">
        <f t="shared" si="57"/>
        <v>0</v>
      </c>
      <c r="K34" s="811">
        <f t="shared" si="57"/>
        <v>0</v>
      </c>
      <c r="L34" s="811">
        <f t="shared" si="57"/>
        <v>4439.5030000000006</v>
      </c>
      <c r="M34" s="811">
        <f t="shared" si="57"/>
        <v>4098.16255</v>
      </c>
      <c r="N34" s="811">
        <v>97</v>
      </c>
      <c r="O34" s="811">
        <f>O35+O36</f>
        <v>1044.0621100000001</v>
      </c>
      <c r="P34" s="811">
        <f>P35+P36</f>
        <v>341.3404500000006</v>
      </c>
      <c r="Q34" s="812">
        <f>Q35+Q36</f>
        <v>0</v>
      </c>
      <c r="S34" s="813">
        <f>S35+S36</f>
        <v>0</v>
      </c>
      <c r="T34" s="812">
        <f>T35+T36</f>
        <v>4098.16255</v>
      </c>
      <c r="U34" s="814">
        <f>U35+U36</f>
        <v>0</v>
      </c>
    </row>
    <row r="35" spans="1:23" ht="12.75" customHeight="1" x14ac:dyDescent="0.25">
      <c r="A35" s="1007">
        <f t="shared" si="3"/>
        <v>23</v>
      </c>
      <c r="B35" s="1255"/>
      <c r="C35" s="1009" t="s">
        <v>1056</v>
      </c>
      <c r="D35" s="1025" t="s">
        <v>1057</v>
      </c>
      <c r="E35" s="820"/>
      <c r="F35" s="1026"/>
      <c r="G35" s="1022"/>
      <c r="H35" s="1188">
        <v>4439.5030000000006</v>
      </c>
      <c r="I35" s="817">
        <v>4098.16255</v>
      </c>
      <c r="J35" s="817">
        <v>0</v>
      </c>
      <c r="K35" s="817">
        <v>0</v>
      </c>
      <c r="L35" s="659">
        <f>H35+J35</f>
        <v>4439.5030000000006</v>
      </c>
      <c r="M35" s="659">
        <f>I35+K35</f>
        <v>4098.16255</v>
      </c>
      <c r="N35" s="1012">
        <v>96.5</v>
      </c>
      <c r="O35" s="817">
        <v>1044.0621100000001</v>
      </c>
      <c r="P35" s="1024">
        <f>L35-M35</f>
        <v>341.3404500000006</v>
      </c>
      <c r="Q35" s="273">
        <v>0</v>
      </c>
      <c r="R35">
        <v>0</v>
      </c>
      <c r="S35" s="832">
        <v>0</v>
      </c>
      <c r="T35" s="668">
        <f>M35+S35</f>
        <v>4098.16255</v>
      </c>
      <c r="U35" s="273">
        <v>0</v>
      </c>
    </row>
    <row r="36" spans="1:23" ht="10.9" hidden="1" customHeight="1" x14ac:dyDescent="0.25">
      <c r="A36" s="1007"/>
      <c r="B36" s="1255"/>
      <c r="C36" s="1009" t="s">
        <v>1166</v>
      </c>
      <c r="D36" s="1025" t="s">
        <v>1294</v>
      </c>
      <c r="E36" s="820"/>
      <c r="F36" s="1026"/>
      <c r="G36" s="1022"/>
      <c r="H36" s="817"/>
      <c r="I36" s="817"/>
      <c r="J36" s="817"/>
      <c r="K36" s="817"/>
      <c r="L36" s="659">
        <f>H36+J36</f>
        <v>0</v>
      </c>
      <c r="M36" s="659">
        <f>I36+K36</f>
        <v>0</v>
      </c>
      <c r="N36" s="1012"/>
      <c r="O36" s="817"/>
      <c r="P36" s="1024">
        <f>L36-M36</f>
        <v>0</v>
      </c>
      <c r="Q36" s="273"/>
      <c r="R36">
        <v>0</v>
      </c>
      <c r="S36" s="832"/>
      <c r="T36" s="668">
        <f>M36+S36</f>
        <v>0</v>
      </c>
      <c r="U36" s="273"/>
    </row>
    <row r="37" spans="1:23" ht="12.75" customHeight="1" x14ac:dyDescent="0.25">
      <c r="A37" s="1005">
        <f>A35+1</f>
        <v>24</v>
      </c>
      <c r="B37" s="1006"/>
      <c r="C37" s="1429" t="s">
        <v>997</v>
      </c>
      <c r="D37" s="1429"/>
      <c r="E37" s="1429"/>
      <c r="F37" s="1430"/>
      <c r="G37" s="1018"/>
      <c r="H37" s="823">
        <f t="shared" ref="H37:M41" si="58">H38</f>
        <v>886.32119</v>
      </c>
      <c r="I37" s="811">
        <f t="shared" si="58"/>
        <v>204.17740000000001</v>
      </c>
      <c r="J37" s="811">
        <f t="shared" si="58"/>
        <v>0</v>
      </c>
      <c r="K37" s="811">
        <f t="shared" si="58"/>
        <v>0</v>
      </c>
      <c r="L37" s="811">
        <f t="shared" si="58"/>
        <v>886.32119</v>
      </c>
      <c r="M37" s="811">
        <f t="shared" si="58"/>
        <v>204.17740000000001</v>
      </c>
      <c r="N37" s="811">
        <v>85</v>
      </c>
      <c r="O37" s="811">
        <f>O38</f>
        <v>0</v>
      </c>
      <c r="P37" s="811">
        <f>P38</f>
        <v>682.14378999999997</v>
      </c>
      <c r="Q37" s="812">
        <f>Q38</f>
        <v>0</v>
      </c>
      <c r="S37" s="813">
        <f>S38</f>
        <v>0</v>
      </c>
      <c r="T37" s="812">
        <f>T38</f>
        <v>204.17740000000001</v>
      </c>
      <c r="U37" s="814">
        <f>U38</f>
        <v>0</v>
      </c>
    </row>
    <row r="38" spans="1:23" ht="12.75" customHeight="1" x14ac:dyDescent="0.25">
      <c r="A38" s="1007">
        <f t="shared" si="3"/>
        <v>25</v>
      </c>
      <c r="B38" s="1255"/>
      <c r="C38" s="1009" t="s">
        <v>997</v>
      </c>
      <c r="D38" s="1442" t="s">
        <v>1167</v>
      </c>
      <c r="E38" s="1442"/>
      <c r="F38" s="1443"/>
      <c r="G38" s="1022"/>
      <c r="H38" s="1188">
        <v>886.32119</v>
      </c>
      <c r="I38" s="817">
        <v>204.17740000000001</v>
      </c>
      <c r="J38" s="817">
        <v>0</v>
      </c>
      <c r="K38" s="817">
        <v>0</v>
      </c>
      <c r="L38" s="659">
        <f>H38+J38</f>
        <v>886.32119</v>
      </c>
      <c r="M38" s="659">
        <f>I38+K38</f>
        <v>204.17740000000001</v>
      </c>
      <c r="N38" s="1012">
        <v>85</v>
      </c>
      <c r="O38" s="817">
        <v>0</v>
      </c>
      <c r="P38" s="1024">
        <f>L38-M38</f>
        <v>682.14378999999997</v>
      </c>
      <c r="Q38" s="273">
        <v>0</v>
      </c>
      <c r="S38" s="832">
        <v>0</v>
      </c>
      <c r="T38" s="668">
        <f>M38+S38</f>
        <v>204.17740000000001</v>
      </c>
      <c r="U38" s="273">
        <v>0</v>
      </c>
    </row>
    <row r="39" spans="1:23" ht="10.9" hidden="1" customHeight="1" x14ac:dyDescent="0.25">
      <c r="A39" s="1005">
        <f>A38+1</f>
        <v>26</v>
      </c>
      <c r="B39" s="1006"/>
      <c r="C39" s="1429" t="s">
        <v>1306</v>
      </c>
      <c r="D39" s="1429"/>
      <c r="E39" s="1429"/>
      <c r="F39" s="1430"/>
      <c r="G39" s="1018"/>
      <c r="H39" s="823">
        <f t="shared" si="58"/>
        <v>0</v>
      </c>
      <c r="I39" s="811">
        <f t="shared" si="58"/>
        <v>0</v>
      </c>
      <c r="J39" s="811">
        <f t="shared" si="58"/>
        <v>0</v>
      </c>
      <c r="K39" s="811">
        <f t="shared" si="58"/>
        <v>0</v>
      </c>
      <c r="L39" s="811">
        <f t="shared" si="58"/>
        <v>0</v>
      </c>
      <c r="M39" s="811">
        <f t="shared" si="58"/>
        <v>0</v>
      </c>
      <c r="N39" s="811">
        <v>0</v>
      </c>
      <c r="O39" s="811">
        <f>O40</f>
        <v>0</v>
      </c>
      <c r="P39" s="811">
        <f>P40</f>
        <v>0</v>
      </c>
      <c r="Q39" s="812">
        <f>Q40</f>
        <v>0</v>
      </c>
      <c r="S39" s="813">
        <f>S40</f>
        <v>0</v>
      </c>
      <c r="T39" s="812">
        <f>T40</f>
        <v>0</v>
      </c>
      <c r="U39" s="814">
        <f>U40</f>
        <v>0</v>
      </c>
    </row>
    <row r="40" spans="1:23" ht="10.9" hidden="1" customHeight="1" x14ac:dyDescent="0.25">
      <c r="A40" s="1007">
        <f>A39+1</f>
        <v>27</v>
      </c>
      <c r="B40" s="1255"/>
      <c r="C40" s="1264" t="s">
        <v>1242</v>
      </c>
      <c r="D40" s="1265"/>
      <c r="E40" s="1265"/>
      <c r="F40" s="1266"/>
      <c r="G40" s="1144" t="s">
        <v>1235</v>
      </c>
      <c r="H40" s="817">
        <v>0</v>
      </c>
      <c r="I40" s="817">
        <v>0</v>
      </c>
      <c r="J40" s="817">
        <v>0</v>
      </c>
      <c r="K40" s="817">
        <v>0</v>
      </c>
      <c r="L40" s="659">
        <f t="shared" ref="L40:L42" si="59">H40+J40</f>
        <v>0</v>
      </c>
      <c r="M40" s="659">
        <f t="shared" ref="M40:M42" si="60">I40+K40</f>
        <v>0</v>
      </c>
      <c r="N40" s="1012">
        <v>0</v>
      </c>
      <c r="O40" s="817">
        <v>0</v>
      </c>
      <c r="P40" s="1024">
        <f t="shared" ref="P40:P42" si="61">L40-M40</f>
        <v>0</v>
      </c>
      <c r="Q40" s="273">
        <v>0</v>
      </c>
      <c r="S40" s="832">
        <v>0</v>
      </c>
      <c r="T40" s="668">
        <f t="shared" ref="T40:T42" si="62">M40+S40</f>
        <v>0</v>
      </c>
      <c r="U40" s="273">
        <v>0</v>
      </c>
    </row>
    <row r="41" spans="1:23" ht="10.9" hidden="1" customHeight="1" x14ac:dyDescent="0.25">
      <c r="A41" s="1005">
        <f>A40+1</f>
        <v>28</v>
      </c>
      <c r="B41" s="1006"/>
      <c r="C41" s="1429" t="s">
        <v>1307</v>
      </c>
      <c r="D41" s="1429"/>
      <c r="E41" s="1429"/>
      <c r="F41" s="1430"/>
      <c r="G41" s="1018"/>
      <c r="H41" s="823">
        <f t="shared" si="58"/>
        <v>0</v>
      </c>
      <c r="I41" s="811">
        <f t="shared" si="58"/>
        <v>0</v>
      </c>
      <c r="J41" s="811">
        <f t="shared" si="58"/>
        <v>0</v>
      </c>
      <c r="K41" s="811">
        <f t="shared" si="58"/>
        <v>0</v>
      </c>
      <c r="L41" s="811">
        <f t="shared" si="58"/>
        <v>0</v>
      </c>
      <c r="M41" s="811">
        <f t="shared" si="58"/>
        <v>0</v>
      </c>
      <c r="N41" s="811">
        <v>0</v>
      </c>
      <c r="O41" s="811">
        <f>O42</f>
        <v>0</v>
      </c>
      <c r="P41" s="811">
        <f>P42</f>
        <v>0</v>
      </c>
      <c r="Q41" s="812">
        <f>Q42</f>
        <v>0</v>
      </c>
      <c r="S41" s="813">
        <f>S42</f>
        <v>0</v>
      </c>
      <c r="T41" s="812">
        <f>T42</f>
        <v>0</v>
      </c>
      <c r="U41" s="814">
        <f>U42</f>
        <v>0</v>
      </c>
    </row>
    <row r="42" spans="1:23" ht="10.9" hidden="1" customHeight="1" x14ac:dyDescent="0.25">
      <c r="A42" s="1007">
        <f>A41+1</f>
        <v>29</v>
      </c>
      <c r="B42" s="1255"/>
      <c r="C42" s="1444" t="s">
        <v>1241</v>
      </c>
      <c r="D42" s="1445"/>
      <c r="E42" s="1445"/>
      <c r="F42" s="1446"/>
      <c r="G42" s="1144" t="s">
        <v>1235</v>
      </c>
      <c r="H42" s="817">
        <v>0</v>
      </c>
      <c r="I42" s="817">
        <v>0</v>
      </c>
      <c r="J42" s="817">
        <v>0</v>
      </c>
      <c r="K42" s="817">
        <v>0</v>
      </c>
      <c r="L42" s="659">
        <f t="shared" si="59"/>
        <v>0</v>
      </c>
      <c r="M42" s="659">
        <f t="shared" si="60"/>
        <v>0</v>
      </c>
      <c r="N42" s="1200">
        <v>0</v>
      </c>
      <c r="O42" s="817">
        <v>0</v>
      </c>
      <c r="P42" s="1024">
        <f t="shared" si="61"/>
        <v>0</v>
      </c>
      <c r="Q42" s="273">
        <v>0</v>
      </c>
      <c r="S42" s="832">
        <v>0</v>
      </c>
      <c r="T42" s="668">
        <f t="shared" si="62"/>
        <v>0</v>
      </c>
      <c r="U42" s="273">
        <v>0</v>
      </c>
    </row>
    <row r="43" spans="1:23" ht="12.75" customHeight="1" x14ac:dyDescent="0.25">
      <c r="A43" s="1005">
        <f>A38+1</f>
        <v>26</v>
      </c>
      <c r="B43" s="1006"/>
      <c r="C43" s="1429" t="s">
        <v>1308</v>
      </c>
      <c r="D43" s="1429"/>
      <c r="E43" s="1429"/>
      <c r="F43" s="1430"/>
      <c r="G43" s="1018"/>
      <c r="H43" s="823">
        <f t="shared" ref="H43:M43" si="63">H44</f>
        <v>10</v>
      </c>
      <c r="I43" s="811">
        <f t="shared" si="63"/>
        <v>10</v>
      </c>
      <c r="J43" s="811">
        <f t="shared" si="63"/>
        <v>11665.7156</v>
      </c>
      <c r="K43" s="811">
        <f t="shared" si="63"/>
        <v>6707.7156000000004</v>
      </c>
      <c r="L43" s="811">
        <f t="shared" si="63"/>
        <v>11675.7156</v>
      </c>
      <c r="M43" s="811">
        <f t="shared" si="63"/>
        <v>6717.7156000000004</v>
      </c>
      <c r="N43" s="811">
        <v>85</v>
      </c>
      <c r="O43" s="811">
        <f>O44</f>
        <v>0</v>
      </c>
      <c r="P43" s="811">
        <f>P44</f>
        <v>4957.9999999999991</v>
      </c>
      <c r="Q43" s="812">
        <f>Q44</f>
        <v>0</v>
      </c>
      <c r="S43" s="813">
        <f>S44</f>
        <v>0</v>
      </c>
      <c r="T43" s="812">
        <f>T44</f>
        <v>6717.7156000000004</v>
      </c>
      <c r="U43" s="814">
        <f>U44</f>
        <v>0</v>
      </c>
    </row>
    <row r="44" spans="1:23" ht="12.75" customHeight="1" x14ac:dyDescent="0.25">
      <c r="A44" s="1007">
        <f t="shared" si="3"/>
        <v>27</v>
      </c>
      <c r="B44" s="1255"/>
      <c r="C44" s="1264" t="s">
        <v>1304</v>
      </c>
      <c r="D44" s="1265"/>
      <c r="E44" s="1265"/>
      <c r="F44" s="1266"/>
      <c r="G44" s="1022"/>
      <c r="H44" s="817">
        <v>10</v>
      </c>
      <c r="I44" s="817">
        <v>10</v>
      </c>
      <c r="J44" s="125">
        <v>11665.7156</v>
      </c>
      <c r="K44" s="817">
        <v>6707.7156000000004</v>
      </c>
      <c r="L44" s="659">
        <f>H44+J44</f>
        <v>11675.7156</v>
      </c>
      <c r="M44" s="659">
        <f>I44+K44</f>
        <v>6717.7156000000004</v>
      </c>
      <c r="N44" s="1012">
        <v>85</v>
      </c>
      <c r="O44" s="125">
        <v>0</v>
      </c>
      <c r="P44" s="1024">
        <f>L44-M44</f>
        <v>4957.9999999999991</v>
      </c>
      <c r="Q44" s="273">
        <v>0</v>
      </c>
      <c r="S44" s="832">
        <v>0</v>
      </c>
      <c r="T44" s="668">
        <f>M44+S44</f>
        <v>6717.7156000000004</v>
      </c>
      <c r="U44" s="273">
        <v>0</v>
      </c>
    </row>
    <row r="45" spans="1:23" ht="12.75" customHeight="1" x14ac:dyDescent="0.25">
      <c r="A45" s="1005">
        <f>A44+1</f>
        <v>28</v>
      </c>
      <c r="B45" s="1006"/>
      <c r="C45" s="1429" t="s">
        <v>1309</v>
      </c>
      <c r="D45" s="1429"/>
      <c r="E45" s="1429"/>
      <c r="F45" s="1430"/>
      <c r="G45" s="1018"/>
      <c r="H45" s="823">
        <f t="shared" ref="H45:M45" si="64">H46</f>
        <v>3185.5067099999997</v>
      </c>
      <c r="I45" s="811">
        <f t="shared" si="64"/>
        <v>2715.67013</v>
      </c>
      <c r="J45" s="811">
        <f t="shared" si="64"/>
        <v>0</v>
      </c>
      <c r="K45" s="811">
        <f t="shared" si="64"/>
        <v>0</v>
      </c>
      <c r="L45" s="811">
        <f t="shared" si="64"/>
        <v>3185.5067099999997</v>
      </c>
      <c r="M45" s="811">
        <f t="shared" si="64"/>
        <v>2715.67013</v>
      </c>
      <c r="N45" s="811">
        <v>90</v>
      </c>
      <c r="O45" s="811">
        <f>O46</f>
        <v>0</v>
      </c>
      <c r="P45" s="811">
        <f>P46</f>
        <v>469.83657999999969</v>
      </c>
      <c r="Q45" s="812">
        <f>Q46</f>
        <v>0</v>
      </c>
      <c r="S45" s="813">
        <f>S46</f>
        <v>0</v>
      </c>
      <c r="T45" s="812">
        <f>T46</f>
        <v>2715.67013</v>
      </c>
      <c r="U45" s="814">
        <f>U46</f>
        <v>0</v>
      </c>
    </row>
    <row r="46" spans="1:23" ht="12.75" customHeight="1" x14ac:dyDescent="0.25">
      <c r="A46" s="1007">
        <f>A45+1</f>
        <v>29</v>
      </c>
      <c r="B46" s="1255"/>
      <c r="C46" s="1264" t="s">
        <v>1310</v>
      </c>
      <c r="D46" s="1265"/>
      <c r="E46" s="1265"/>
      <c r="F46" s="1266"/>
      <c r="G46" s="1022"/>
      <c r="H46" s="817">
        <v>3185.5067099999997</v>
      </c>
      <c r="I46" s="817">
        <v>2715.67013</v>
      </c>
      <c r="J46" s="125">
        <v>0</v>
      </c>
      <c r="K46" s="817">
        <v>0</v>
      </c>
      <c r="L46" s="659">
        <f>H46+J46</f>
        <v>3185.5067099999997</v>
      </c>
      <c r="M46" s="659">
        <f>I46+K46</f>
        <v>2715.67013</v>
      </c>
      <c r="N46" s="1012">
        <v>90</v>
      </c>
      <c r="O46" s="125">
        <v>0</v>
      </c>
      <c r="P46" s="1024">
        <f>L46-M46</f>
        <v>469.83657999999969</v>
      </c>
      <c r="Q46" s="273">
        <v>0</v>
      </c>
      <c r="S46" s="832">
        <v>0</v>
      </c>
      <c r="T46" s="668">
        <f>M46+S46</f>
        <v>2715.67013</v>
      </c>
      <c r="U46" s="273">
        <v>0</v>
      </c>
    </row>
    <row r="47" spans="1:23" ht="10.9" hidden="1" customHeight="1" x14ac:dyDescent="0.25">
      <c r="A47" s="1005">
        <f>A46+1</f>
        <v>30</v>
      </c>
      <c r="B47" s="1006"/>
      <c r="C47" s="1429" t="s">
        <v>1168</v>
      </c>
      <c r="D47" s="1429"/>
      <c r="E47" s="1429"/>
      <c r="F47" s="1430"/>
      <c r="G47" s="1018"/>
      <c r="H47" s="823">
        <f t="shared" ref="H47:M47" si="65">H48</f>
        <v>0</v>
      </c>
      <c r="I47" s="811">
        <f t="shared" si="65"/>
        <v>0</v>
      </c>
      <c r="J47" s="811">
        <f t="shared" si="65"/>
        <v>0</v>
      </c>
      <c r="K47" s="811">
        <f t="shared" si="65"/>
        <v>0</v>
      </c>
      <c r="L47" s="811">
        <f t="shared" si="65"/>
        <v>0</v>
      </c>
      <c r="M47" s="811">
        <f t="shared" si="65"/>
        <v>0</v>
      </c>
      <c r="N47" s="811">
        <v>0</v>
      </c>
      <c r="O47" s="811">
        <f>O48</f>
        <v>0</v>
      </c>
      <c r="P47" s="811">
        <f>P48</f>
        <v>0</v>
      </c>
      <c r="Q47" s="812">
        <f>Q48</f>
        <v>0</v>
      </c>
      <c r="S47" s="813">
        <f>S48</f>
        <v>0</v>
      </c>
      <c r="T47" s="812">
        <f>T48</f>
        <v>0</v>
      </c>
      <c r="U47" s="814">
        <f>U48</f>
        <v>0</v>
      </c>
    </row>
    <row r="48" spans="1:23" ht="10.9" hidden="1" customHeight="1" x14ac:dyDescent="0.25">
      <c r="A48" s="1007">
        <f>A47+1</f>
        <v>31</v>
      </c>
      <c r="B48" s="1255"/>
      <c r="C48" s="1009" t="s">
        <v>1168</v>
      </c>
      <c r="D48" s="1442" t="s">
        <v>1169</v>
      </c>
      <c r="E48" s="1442"/>
      <c r="F48" s="1443"/>
      <c r="G48" s="1022"/>
      <c r="H48" s="817">
        <v>0</v>
      </c>
      <c r="I48" s="817">
        <v>0</v>
      </c>
      <c r="J48" s="125">
        <v>0</v>
      </c>
      <c r="K48" s="817">
        <v>0</v>
      </c>
      <c r="L48" s="659">
        <f>H48+J48</f>
        <v>0</v>
      </c>
      <c r="M48" s="659">
        <f>I48+K48</f>
        <v>0</v>
      </c>
      <c r="N48" s="1012">
        <v>0</v>
      </c>
      <c r="O48" s="125">
        <v>0</v>
      </c>
      <c r="P48" s="1024">
        <f>L48-M48</f>
        <v>0</v>
      </c>
      <c r="Q48" s="273">
        <v>0</v>
      </c>
      <c r="S48" s="832">
        <v>0</v>
      </c>
      <c r="T48" s="668">
        <f>M48+S48</f>
        <v>0</v>
      </c>
      <c r="U48" s="273">
        <v>0</v>
      </c>
    </row>
    <row r="49" spans="1:21" ht="12.75" customHeight="1" x14ac:dyDescent="0.25">
      <c r="A49" s="1019">
        <f>A46+1</f>
        <v>30</v>
      </c>
      <c r="B49" s="1258">
        <v>16</v>
      </c>
      <c r="C49" s="1447" t="s">
        <v>1170</v>
      </c>
      <c r="D49" s="1447"/>
      <c r="E49" s="1447"/>
      <c r="F49" s="1448"/>
      <c r="G49" s="1017" t="s">
        <v>459</v>
      </c>
      <c r="H49" s="664">
        <f t="shared" ref="H49:M49" si="66">SUM(H50,H53,H56)</f>
        <v>345993.66399999999</v>
      </c>
      <c r="I49" s="664">
        <f t="shared" si="66"/>
        <v>11144.807650000002</v>
      </c>
      <c r="J49" s="663">
        <f t="shared" si="66"/>
        <v>0</v>
      </c>
      <c r="K49" s="1029">
        <f t="shared" si="66"/>
        <v>0</v>
      </c>
      <c r="L49" s="1030">
        <f t="shared" si="66"/>
        <v>345993.66399999999</v>
      </c>
      <c r="M49" s="664">
        <f t="shared" si="66"/>
        <v>11144.807650000002</v>
      </c>
      <c r="N49" s="665">
        <v>85</v>
      </c>
      <c r="O49" s="663">
        <f>SUM(O50,O53,O56)</f>
        <v>157563.53069000001</v>
      </c>
      <c r="P49" s="663">
        <f>SUM(P50,P53,P56)</f>
        <v>334848.85635000002</v>
      </c>
      <c r="Q49" s="666">
        <f>SUM(Q50,Q53,Q56)</f>
        <v>0</v>
      </c>
      <c r="S49" s="667">
        <f>SUM(S50,S53,S56)</f>
        <v>0</v>
      </c>
      <c r="T49" s="666">
        <f>SUM(T50,T53,T56)</f>
        <v>11144.807650000002</v>
      </c>
      <c r="U49" s="666">
        <f>SUM(U50,U53,U56)</f>
        <v>0</v>
      </c>
    </row>
    <row r="50" spans="1:21" ht="12.75" customHeight="1" x14ac:dyDescent="0.25">
      <c r="A50" s="1005">
        <f t="shared" si="3"/>
        <v>31</v>
      </c>
      <c r="B50" s="1006"/>
      <c r="C50" s="1429" t="s">
        <v>1317</v>
      </c>
      <c r="D50" s="1429"/>
      <c r="E50" s="1429"/>
      <c r="F50" s="1430"/>
      <c r="G50" s="1018" t="s">
        <v>459</v>
      </c>
      <c r="H50" s="823">
        <f>SUM(H51:H52)</f>
        <v>344125.22064999997</v>
      </c>
      <c r="I50" s="811">
        <f t="shared" ref="I50:M50" si="67">SUM(I51:I52)</f>
        <v>8501.5136500000008</v>
      </c>
      <c r="J50" s="811">
        <f t="shared" si="67"/>
        <v>0</v>
      </c>
      <c r="K50" s="811">
        <f t="shared" si="67"/>
        <v>0</v>
      </c>
      <c r="L50" s="811">
        <f t="shared" si="67"/>
        <v>344125.22064999997</v>
      </c>
      <c r="M50" s="811">
        <f t="shared" si="67"/>
        <v>8501.5136500000008</v>
      </c>
      <c r="N50" s="811">
        <v>85</v>
      </c>
      <c r="O50" s="811">
        <f t="shared" ref="O50:Q50" si="68">SUM(O51:O52)</f>
        <v>157563.53069000001</v>
      </c>
      <c r="P50" s="811">
        <f t="shared" si="68"/>
        <v>335623.70699999999</v>
      </c>
      <c r="Q50" s="812">
        <f t="shared" si="68"/>
        <v>0</v>
      </c>
      <c r="S50" s="813">
        <f t="shared" ref="S50:T50" si="69">SUM(S51:S52)</f>
        <v>0</v>
      </c>
      <c r="T50" s="812">
        <f t="shared" si="69"/>
        <v>8501.5136500000008</v>
      </c>
      <c r="U50" s="814">
        <f>SUM(U51:U52)</f>
        <v>0</v>
      </c>
    </row>
    <row r="51" spans="1:21" ht="10.9" hidden="1" customHeight="1" x14ac:dyDescent="0.25">
      <c r="A51" s="1007">
        <f t="shared" si="3"/>
        <v>32</v>
      </c>
      <c r="B51" s="1255"/>
      <c r="C51" s="1009" t="s">
        <v>1318</v>
      </c>
      <c r="D51" s="1455" t="s">
        <v>1171</v>
      </c>
      <c r="E51" s="1445"/>
      <c r="F51" s="1446"/>
      <c r="G51" s="1011" t="s">
        <v>459</v>
      </c>
      <c r="H51" s="817">
        <v>0</v>
      </c>
      <c r="I51" s="817">
        <v>0</v>
      </c>
      <c r="J51" s="817">
        <v>0</v>
      </c>
      <c r="K51" s="817">
        <v>0</v>
      </c>
      <c r="L51" s="659">
        <f>H51+J51</f>
        <v>0</v>
      </c>
      <c r="M51" s="659">
        <f>I51+K51</f>
        <v>0</v>
      </c>
      <c r="N51" s="1012">
        <v>0</v>
      </c>
      <c r="O51" s="817">
        <v>0</v>
      </c>
      <c r="P51" s="640">
        <f>L51-M51</f>
        <v>0</v>
      </c>
      <c r="Q51" s="273">
        <v>0</v>
      </c>
      <c r="S51" s="832">
        <v>0</v>
      </c>
      <c r="T51" s="660">
        <f>M51+S51</f>
        <v>0</v>
      </c>
      <c r="U51" s="273">
        <v>0</v>
      </c>
    </row>
    <row r="52" spans="1:21" ht="12.75" customHeight="1" x14ac:dyDescent="0.25">
      <c r="A52" s="1007">
        <f>A50+1</f>
        <v>32</v>
      </c>
      <c r="B52" s="1255"/>
      <c r="C52" s="1009" t="s">
        <v>1316</v>
      </c>
      <c r="D52" s="1455" t="s">
        <v>1301</v>
      </c>
      <c r="E52" s="1445"/>
      <c r="F52" s="1446"/>
      <c r="G52" s="1011" t="s">
        <v>459</v>
      </c>
      <c r="H52" s="817">
        <v>344125.22064999997</v>
      </c>
      <c r="I52" s="817">
        <v>8501.5136500000008</v>
      </c>
      <c r="J52" s="817">
        <v>0</v>
      </c>
      <c r="K52" s="817">
        <v>0</v>
      </c>
      <c r="L52" s="659">
        <f>H52+J52</f>
        <v>344125.22064999997</v>
      </c>
      <c r="M52" s="659">
        <f>I52+K52</f>
        <v>8501.5136500000008</v>
      </c>
      <c r="N52" s="1012">
        <v>84.93</v>
      </c>
      <c r="O52" s="817">
        <v>157563.53069000001</v>
      </c>
      <c r="P52" s="640">
        <f>L52-M52</f>
        <v>335623.70699999999</v>
      </c>
      <c r="Q52" s="273">
        <v>0</v>
      </c>
      <c r="S52" s="832">
        <v>0</v>
      </c>
      <c r="T52" s="660">
        <f>M52+S52</f>
        <v>8501.5136500000008</v>
      </c>
      <c r="U52" s="273">
        <v>0</v>
      </c>
    </row>
    <row r="53" spans="1:21" ht="12.75" customHeight="1" x14ac:dyDescent="0.25">
      <c r="A53" s="1005">
        <f>A52+1</f>
        <v>33</v>
      </c>
      <c r="B53" s="1006"/>
      <c r="C53" s="1429" t="s">
        <v>1197</v>
      </c>
      <c r="D53" s="1429"/>
      <c r="E53" s="1429"/>
      <c r="F53" s="1430"/>
      <c r="G53" s="1018" t="s">
        <v>459</v>
      </c>
      <c r="H53" s="823">
        <f>SUM(H54:H55)</f>
        <v>0</v>
      </c>
      <c r="I53" s="811">
        <f t="shared" ref="I53" si="70">SUM(I54:I55)</f>
        <v>2018.3337100000001</v>
      </c>
      <c r="J53" s="811">
        <f t="shared" ref="J53" si="71">SUM(J54:J55)</f>
        <v>0</v>
      </c>
      <c r="K53" s="811">
        <f t="shared" ref="K53" si="72">SUM(K54:K55)</f>
        <v>0</v>
      </c>
      <c r="L53" s="811">
        <f t="shared" ref="L53" si="73">SUM(L54:L55)</f>
        <v>0</v>
      </c>
      <c r="M53" s="811">
        <f t="shared" ref="M53" si="74">SUM(M54:M55)</f>
        <v>2018.3337100000001</v>
      </c>
      <c r="N53" s="811">
        <v>85</v>
      </c>
      <c r="O53" s="811">
        <f t="shared" ref="O53" si="75">SUM(O54:O55)</f>
        <v>0</v>
      </c>
      <c r="P53" s="811">
        <f t="shared" ref="P53" si="76">SUM(P54:P55)</f>
        <v>-2018.3337100000001</v>
      </c>
      <c r="Q53" s="812">
        <f t="shared" ref="Q53" si="77">SUM(Q54:Q55)</f>
        <v>0</v>
      </c>
      <c r="S53" s="813">
        <f t="shared" ref="S53" si="78">SUM(S54:S55)</f>
        <v>0</v>
      </c>
      <c r="T53" s="812">
        <f t="shared" ref="T53" si="79">SUM(T54:T55)</f>
        <v>2018.3337100000001</v>
      </c>
      <c r="U53" s="814">
        <f>SUM(U54:U55)</f>
        <v>0</v>
      </c>
    </row>
    <row r="54" spans="1:21" ht="10.9" hidden="1" customHeight="1" x14ac:dyDescent="0.25">
      <c r="A54" s="1007">
        <f>A53+1</f>
        <v>34</v>
      </c>
      <c r="B54" s="1255"/>
      <c r="C54" s="1009" t="s">
        <v>1314</v>
      </c>
      <c r="D54" s="1455" t="s">
        <v>1172</v>
      </c>
      <c r="E54" s="1445"/>
      <c r="F54" s="1446"/>
      <c r="G54" s="1011" t="s">
        <v>459</v>
      </c>
      <c r="H54" s="817">
        <v>0</v>
      </c>
      <c r="I54" s="817">
        <v>0</v>
      </c>
      <c r="J54" s="817">
        <v>0</v>
      </c>
      <c r="K54" s="817">
        <v>0</v>
      </c>
      <c r="L54" s="659">
        <f>H54+J54</f>
        <v>0</v>
      </c>
      <c r="M54" s="659">
        <f>I54+K54</f>
        <v>0</v>
      </c>
      <c r="N54" s="1012">
        <v>0</v>
      </c>
      <c r="O54" s="817">
        <v>0</v>
      </c>
      <c r="P54" s="640">
        <f>L54-M54</f>
        <v>0</v>
      </c>
      <c r="Q54" s="273">
        <v>0</v>
      </c>
      <c r="S54" s="832">
        <v>0</v>
      </c>
      <c r="T54" s="660">
        <f>M54+S54</f>
        <v>0</v>
      </c>
      <c r="U54" s="273">
        <v>0</v>
      </c>
    </row>
    <row r="55" spans="1:21" ht="12.75" customHeight="1" x14ac:dyDescent="0.25">
      <c r="A55" s="1007">
        <f>A53+1</f>
        <v>34</v>
      </c>
      <c r="B55" s="1255"/>
      <c r="C55" s="1009" t="s">
        <v>1315</v>
      </c>
      <c r="D55" s="1455" t="s">
        <v>1302</v>
      </c>
      <c r="E55" s="1445"/>
      <c r="F55" s="1446"/>
      <c r="G55" s="1011" t="s">
        <v>459</v>
      </c>
      <c r="H55" s="817">
        <v>0</v>
      </c>
      <c r="I55" s="817">
        <v>2018.3337100000001</v>
      </c>
      <c r="J55" s="817">
        <v>0</v>
      </c>
      <c r="K55" s="817">
        <v>0</v>
      </c>
      <c r="L55" s="659">
        <f>H55+J55</f>
        <v>0</v>
      </c>
      <c r="M55" s="659">
        <f>I55+K55</f>
        <v>2018.3337100000001</v>
      </c>
      <c r="N55" s="1012">
        <v>84.93</v>
      </c>
      <c r="O55" s="817">
        <v>0</v>
      </c>
      <c r="P55" s="640">
        <f>L55-M55</f>
        <v>-2018.3337100000001</v>
      </c>
      <c r="Q55" s="273">
        <v>0</v>
      </c>
      <c r="S55" s="832">
        <v>0</v>
      </c>
      <c r="T55" s="660">
        <f>M55+S55</f>
        <v>2018.3337100000001</v>
      </c>
      <c r="U55" s="273">
        <v>0</v>
      </c>
    </row>
    <row r="56" spans="1:21" ht="12.75" customHeight="1" x14ac:dyDescent="0.25">
      <c r="A56" s="1005">
        <f>A55+1</f>
        <v>35</v>
      </c>
      <c r="B56" s="1006"/>
      <c r="C56" s="1429" t="s">
        <v>1311</v>
      </c>
      <c r="D56" s="1429"/>
      <c r="E56" s="1429"/>
      <c r="F56" s="1430"/>
      <c r="G56" s="1018" t="s">
        <v>459</v>
      </c>
      <c r="H56" s="823">
        <f>SUM(H57:H58)</f>
        <v>1868.44335</v>
      </c>
      <c r="I56" s="811">
        <f t="shared" ref="I56" si="80">SUM(I57:I58)</f>
        <v>624.96028999999999</v>
      </c>
      <c r="J56" s="811">
        <f t="shared" ref="J56" si="81">SUM(J57:J58)</f>
        <v>0</v>
      </c>
      <c r="K56" s="811">
        <f t="shared" ref="K56" si="82">SUM(K57:K58)</f>
        <v>0</v>
      </c>
      <c r="L56" s="811">
        <f t="shared" ref="L56" si="83">SUM(L57:L58)</f>
        <v>1868.44335</v>
      </c>
      <c r="M56" s="811">
        <f t="shared" ref="M56" si="84">SUM(M57:M58)</f>
        <v>624.96028999999999</v>
      </c>
      <c r="N56" s="811">
        <v>85</v>
      </c>
      <c r="O56" s="811">
        <f t="shared" ref="O56" si="85">SUM(O57:O58)</f>
        <v>0</v>
      </c>
      <c r="P56" s="811">
        <f t="shared" ref="P56" si="86">SUM(P57:P58)</f>
        <v>1243.48306</v>
      </c>
      <c r="Q56" s="812">
        <f t="shared" ref="Q56" si="87">SUM(Q57:Q58)</f>
        <v>0</v>
      </c>
      <c r="S56" s="813">
        <f t="shared" ref="S56" si="88">SUM(S57:S58)</f>
        <v>0</v>
      </c>
      <c r="T56" s="812">
        <f t="shared" ref="T56" si="89">SUM(T57:T58)</f>
        <v>624.96028999999999</v>
      </c>
      <c r="U56" s="814">
        <f>SUM(U57:U58)</f>
        <v>0</v>
      </c>
    </row>
    <row r="57" spans="1:21" ht="12.75" customHeight="1" x14ac:dyDescent="0.25">
      <c r="A57" s="1007">
        <f t="shared" si="3"/>
        <v>36</v>
      </c>
      <c r="B57" s="1255"/>
      <c r="C57" s="1009" t="s">
        <v>1312</v>
      </c>
      <c r="D57" s="1442" t="s">
        <v>1173</v>
      </c>
      <c r="E57" s="1442"/>
      <c r="F57" s="1443"/>
      <c r="G57" s="1011" t="s">
        <v>459</v>
      </c>
      <c r="H57" s="1188">
        <v>1868.44335</v>
      </c>
      <c r="I57" s="817">
        <v>624.96028999999999</v>
      </c>
      <c r="J57" s="817">
        <v>0</v>
      </c>
      <c r="K57" s="817">
        <v>0</v>
      </c>
      <c r="L57" s="659">
        <f>H57+J57</f>
        <v>1868.44335</v>
      </c>
      <c r="M57" s="659">
        <f>I57+K57</f>
        <v>624.96028999999999</v>
      </c>
      <c r="N57" s="1012">
        <v>85</v>
      </c>
      <c r="O57" s="817">
        <v>0</v>
      </c>
      <c r="P57" s="640">
        <f>L57-M57</f>
        <v>1243.48306</v>
      </c>
      <c r="Q57" s="273">
        <v>0</v>
      </c>
      <c r="S57" s="832">
        <v>0</v>
      </c>
      <c r="T57" s="660">
        <f>M57+S57</f>
        <v>624.96028999999999</v>
      </c>
      <c r="U57" s="273">
        <v>0</v>
      </c>
    </row>
    <row r="58" spans="1:21" ht="10.9" hidden="1" customHeight="1" x14ac:dyDescent="0.25">
      <c r="A58" s="1007">
        <f>A57+1</f>
        <v>37</v>
      </c>
      <c r="B58" s="1255"/>
      <c r="C58" s="1009" t="s">
        <v>1313</v>
      </c>
      <c r="D58" s="1455" t="s">
        <v>1303</v>
      </c>
      <c r="E58" s="1445"/>
      <c r="F58" s="1446"/>
      <c r="G58" s="1011" t="s">
        <v>459</v>
      </c>
      <c r="H58" s="1188">
        <v>0</v>
      </c>
      <c r="I58" s="817">
        <v>0</v>
      </c>
      <c r="J58" s="817">
        <v>0</v>
      </c>
      <c r="K58" s="817">
        <v>0</v>
      </c>
      <c r="L58" s="659">
        <f>H58+J58</f>
        <v>0</v>
      </c>
      <c r="M58" s="659">
        <f>I58+K58</f>
        <v>0</v>
      </c>
      <c r="N58" s="1012">
        <v>0</v>
      </c>
      <c r="O58" s="817">
        <v>0</v>
      </c>
      <c r="P58" s="640">
        <f>L58-M58</f>
        <v>0</v>
      </c>
      <c r="Q58" s="273">
        <v>0</v>
      </c>
      <c r="S58" s="832">
        <v>0</v>
      </c>
      <c r="T58" s="660">
        <f>M58+S58</f>
        <v>0</v>
      </c>
      <c r="U58" s="273">
        <v>0</v>
      </c>
    </row>
    <row r="59" spans="1:21" ht="12.75" customHeight="1" x14ac:dyDescent="0.25">
      <c r="A59" s="1019">
        <f>A57+1</f>
        <v>37</v>
      </c>
      <c r="B59" s="1031">
        <v>22</v>
      </c>
      <c r="C59" s="1453" t="s">
        <v>1062</v>
      </c>
      <c r="D59" s="1453"/>
      <c r="E59" s="1453"/>
      <c r="F59" s="1454"/>
      <c r="G59" s="1020"/>
      <c r="H59" s="664">
        <f t="shared" ref="H59:M59" si="90">H60</f>
        <v>1384.12607</v>
      </c>
      <c r="I59" s="664">
        <f t="shared" si="90"/>
        <v>3422.3604</v>
      </c>
      <c r="J59" s="664">
        <f t="shared" si="90"/>
        <v>0</v>
      </c>
      <c r="K59" s="664">
        <f t="shared" si="90"/>
        <v>0</v>
      </c>
      <c r="L59" s="664">
        <f t="shared" si="90"/>
        <v>1384.12607</v>
      </c>
      <c r="M59" s="664">
        <f t="shared" si="90"/>
        <v>3422.3604</v>
      </c>
      <c r="N59" s="665">
        <v>85</v>
      </c>
      <c r="O59" s="664">
        <f>O60</f>
        <v>0</v>
      </c>
      <c r="P59" s="664">
        <f>P60</f>
        <v>-2038.23433</v>
      </c>
      <c r="Q59" s="666">
        <f>Q60</f>
        <v>0</v>
      </c>
      <c r="S59" s="667">
        <f>S60</f>
        <v>0</v>
      </c>
      <c r="T59" s="666">
        <f>T60</f>
        <v>3422.3604</v>
      </c>
      <c r="U59" s="666">
        <f>U60</f>
        <v>0</v>
      </c>
    </row>
    <row r="60" spans="1:21" ht="12.75" customHeight="1" x14ac:dyDescent="0.25">
      <c r="A60" s="1005">
        <f t="shared" si="3"/>
        <v>38</v>
      </c>
      <c r="B60" s="1006"/>
      <c r="C60" s="1456" t="s">
        <v>1174</v>
      </c>
      <c r="D60" s="1456"/>
      <c r="E60" s="1456"/>
      <c r="F60" s="1457"/>
      <c r="G60" s="1018"/>
      <c r="H60" s="823">
        <f t="shared" ref="H60:M60" si="91">SUM(H61:H64)</f>
        <v>1384.12607</v>
      </c>
      <c r="I60" s="811">
        <f t="shared" si="91"/>
        <v>3422.3604</v>
      </c>
      <c r="J60" s="811">
        <f t="shared" si="91"/>
        <v>0</v>
      </c>
      <c r="K60" s="811">
        <f t="shared" si="91"/>
        <v>0</v>
      </c>
      <c r="L60" s="811">
        <f t="shared" si="91"/>
        <v>1384.12607</v>
      </c>
      <c r="M60" s="811">
        <f t="shared" si="91"/>
        <v>3422.3604</v>
      </c>
      <c r="N60" s="811">
        <v>85</v>
      </c>
      <c r="O60" s="811">
        <f>SUM(O61:O64)</f>
        <v>0</v>
      </c>
      <c r="P60" s="811">
        <f>SUM(P61:P64)</f>
        <v>-2038.23433</v>
      </c>
      <c r="Q60" s="812">
        <f>SUM(Q61:Q64)</f>
        <v>0</v>
      </c>
      <c r="S60" s="813">
        <f>SUM(S61:S64)</f>
        <v>0</v>
      </c>
      <c r="T60" s="812">
        <f>SUM(T61:T64)</f>
        <v>3422.3604</v>
      </c>
      <c r="U60" s="814">
        <f>SUM(U61:U64)</f>
        <v>0</v>
      </c>
    </row>
    <row r="61" spans="1:21" ht="10.9" hidden="1" customHeight="1" x14ac:dyDescent="0.25">
      <c r="A61" s="1007">
        <f t="shared" si="3"/>
        <v>39</v>
      </c>
      <c r="B61" s="1008"/>
      <c r="C61" s="1009" t="s">
        <v>1175</v>
      </c>
      <c r="D61" s="1431" t="s">
        <v>1173</v>
      </c>
      <c r="E61" s="1431"/>
      <c r="F61" s="1432"/>
      <c r="G61" s="1022"/>
      <c r="H61" s="817">
        <v>0</v>
      </c>
      <c r="I61" s="817">
        <v>0</v>
      </c>
      <c r="J61" s="817">
        <v>0</v>
      </c>
      <c r="K61" s="817">
        <v>0</v>
      </c>
      <c r="L61" s="659">
        <f t="shared" ref="L61:M64" si="92">H61+J61</f>
        <v>0</v>
      </c>
      <c r="M61" s="659">
        <f t="shared" si="92"/>
        <v>0</v>
      </c>
      <c r="N61" s="1012">
        <v>0</v>
      </c>
      <c r="O61" s="125">
        <v>0</v>
      </c>
      <c r="P61" s="1024">
        <f>L61-M61</f>
        <v>0</v>
      </c>
      <c r="Q61" s="273">
        <v>0</v>
      </c>
      <c r="S61" s="832">
        <v>0</v>
      </c>
      <c r="T61" s="668">
        <f>M61+S61</f>
        <v>0</v>
      </c>
      <c r="U61" s="273">
        <v>0</v>
      </c>
    </row>
    <row r="62" spans="1:21" ht="10.9" hidden="1" customHeight="1" x14ac:dyDescent="0.25">
      <c r="A62" s="1007"/>
      <c r="B62" s="1008"/>
      <c r="C62" s="1009"/>
      <c r="D62" s="824" t="s">
        <v>1293</v>
      </c>
      <c r="E62" s="1027"/>
      <c r="F62" s="1028"/>
      <c r="G62" s="1022"/>
      <c r="H62" s="817">
        <v>0</v>
      </c>
      <c r="I62" s="817">
        <v>0</v>
      </c>
      <c r="J62" s="817">
        <v>0</v>
      </c>
      <c r="K62" s="817">
        <v>0</v>
      </c>
      <c r="L62" s="659">
        <f t="shared" si="92"/>
        <v>0</v>
      </c>
      <c r="M62" s="659">
        <f t="shared" si="92"/>
        <v>0</v>
      </c>
      <c r="N62" s="1012" t="s">
        <v>1380</v>
      </c>
      <c r="O62" s="821">
        <v>0</v>
      </c>
      <c r="P62" s="1024">
        <f>L62-M62</f>
        <v>0</v>
      </c>
      <c r="Q62" s="273"/>
      <c r="S62" s="832"/>
      <c r="T62" s="668">
        <f>M62+S62</f>
        <v>0</v>
      </c>
      <c r="U62" s="273"/>
    </row>
    <row r="63" spans="1:21" ht="10.9" hidden="1" customHeight="1" x14ac:dyDescent="0.25">
      <c r="A63" s="1007"/>
      <c r="B63" s="1008"/>
      <c r="C63" s="1009"/>
      <c r="D63" s="824" t="s">
        <v>1292</v>
      </c>
      <c r="E63" s="1027"/>
      <c r="F63" s="1028"/>
      <c r="G63" s="1022"/>
      <c r="H63" s="817">
        <v>0</v>
      </c>
      <c r="I63" s="817">
        <v>0</v>
      </c>
      <c r="J63" s="817">
        <v>0</v>
      </c>
      <c r="K63" s="817">
        <v>0</v>
      </c>
      <c r="L63" s="659">
        <f t="shared" si="92"/>
        <v>0</v>
      </c>
      <c r="M63" s="659">
        <f t="shared" si="92"/>
        <v>0</v>
      </c>
      <c r="N63" s="1012" t="s">
        <v>1380</v>
      </c>
      <c r="O63" s="821">
        <v>0</v>
      </c>
      <c r="P63" s="1024">
        <f>L63-M63</f>
        <v>0</v>
      </c>
      <c r="Q63" s="273"/>
      <c r="S63" s="832"/>
      <c r="T63" s="668">
        <f>M63+S63</f>
        <v>0</v>
      </c>
      <c r="U63" s="273"/>
    </row>
    <row r="64" spans="1:21" ht="12.75" customHeight="1" x14ac:dyDescent="0.25">
      <c r="A64" s="1007">
        <f>A60+1</f>
        <v>39</v>
      </c>
      <c r="B64" s="1008"/>
      <c r="C64" s="1009" t="s">
        <v>1175</v>
      </c>
      <c r="D64" s="1431" t="s">
        <v>1176</v>
      </c>
      <c r="E64" s="1431"/>
      <c r="F64" s="1432"/>
      <c r="G64" s="1022"/>
      <c r="H64" s="817">
        <v>1384.12607</v>
      </c>
      <c r="I64" s="817">
        <v>3422.3604</v>
      </c>
      <c r="J64" s="817">
        <v>0</v>
      </c>
      <c r="K64" s="817">
        <v>0</v>
      </c>
      <c r="L64" s="659">
        <f t="shared" si="92"/>
        <v>1384.12607</v>
      </c>
      <c r="M64" s="659">
        <f t="shared" si="92"/>
        <v>3422.3604</v>
      </c>
      <c r="N64" s="1012">
        <v>85</v>
      </c>
      <c r="O64" s="821">
        <v>0</v>
      </c>
      <c r="P64" s="1024">
        <f>L64-M64</f>
        <v>-2038.23433</v>
      </c>
      <c r="Q64" s="273">
        <v>0</v>
      </c>
      <c r="S64" s="832">
        <v>0</v>
      </c>
      <c r="T64" s="668">
        <f>M64+S64</f>
        <v>3422.3604</v>
      </c>
      <c r="U64" s="273">
        <v>0</v>
      </c>
    </row>
    <row r="65" spans="1:22" ht="12.75" customHeight="1" x14ac:dyDescent="0.25">
      <c r="A65" s="1019">
        <f t="shared" si="3"/>
        <v>40</v>
      </c>
      <c r="B65" s="1031">
        <v>23</v>
      </c>
      <c r="C65" s="1453" t="s">
        <v>1058</v>
      </c>
      <c r="D65" s="1453"/>
      <c r="E65" s="1453"/>
      <c r="F65" s="1454"/>
      <c r="G65" s="1017" t="s">
        <v>459</v>
      </c>
      <c r="H65" s="664">
        <f t="shared" ref="H65:M65" si="93">H66</f>
        <v>0</v>
      </c>
      <c r="I65" s="664">
        <f t="shared" si="93"/>
        <v>0</v>
      </c>
      <c r="J65" s="664">
        <f t="shared" si="93"/>
        <v>0</v>
      </c>
      <c r="K65" s="664">
        <f t="shared" si="93"/>
        <v>0</v>
      </c>
      <c r="L65" s="664">
        <f t="shared" si="93"/>
        <v>0</v>
      </c>
      <c r="M65" s="664">
        <f t="shared" si="93"/>
        <v>0</v>
      </c>
      <c r="N65" s="665">
        <v>0</v>
      </c>
      <c r="O65" s="663">
        <f>O66</f>
        <v>0</v>
      </c>
      <c r="P65" s="664">
        <f>P66</f>
        <v>0</v>
      </c>
      <c r="Q65" s="666">
        <f>Q66</f>
        <v>0</v>
      </c>
      <c r="S65" s="667">
        <f>S66</f>
        <v>0</v>
      </c>
      <c r="T65" s="666">
        <f>T66</f>
        <v>0</v>
      </c>
      <c r="U65" s="666">
        <f>U66</f>
        <v>0</v>
      </c>
    </row>
    <row r="66" spans="1:22" ht="10.9" hidden="1" customHeight="1" x14ac:dyDescent="0.25">
      <c r="A66" s="1005">
        <f t="shared" si="3"/>
        <v>41</v>
      </c>
      <c r="B66" s="1006"/>
      <c r="C66" s="1456" t="s">
        <v>1174</v>
      </c>
      <c r="D66" s="1456"/>
      <c r="E66" s="1456"/>
      <c r="F66" s="1457"/>
      <c r="G66" s="1018" t="s">
        <v>459</v>
      </c>
      <c r="H66" s="823">
        <f t="shared" ref="H66:M66" si="94">SUM(H67:H67)</f>
        <v>0</v>
      </c>
      <c r="I66" s="811">
        <f t="shared" si="94"/>
        <v>0</v>
      </c>
      <c r="J66" s="811">
        <f t="shared" si="94"/>
        <v>0</v>
      </c>
      <c r="K66" s="811">
        <f t="shared" si="94"/>
        <v>0</v>
      </c>
      <c r="L66" s="811">
        <f t="shared" si="94"/>
        <v>0</v>
      </c>
      <c r="M66" s="811">
        <f t="shared" si="94"/>
        <v>0</v>
      </c>
      <c r="N66" s="811">
        <v>0</v>
      </c>
      <c r="O66" s="811">
        <f>SUM(O67:O67)</f>
        <v>0</v>
      </c>
      <c r="P66" s="811">
        <f>SUM(P67:P67)</f>
        <v>0</v>
      </c>
      <c r="Q66" s="812">
        <f>SUM(Q67:Q67)</f>
        <v>0</v>
      </c>
      <c r="S66" s="813">
        <f>SUM(S67:S67)</f>
        <v>0</v>
      </c>
      <c r="T66" s="812">
        <f>SUM(T67:T67)</f>
        <v>0</v>
      </c>
      <c r="U66" s="814">
        <f>SUM(U67:U67)</f>
        <v>0</v>
      </c>
    </row>
    <row r="67" spans="1:22" ht="10.9" hidden="1" customHeight="1" x14ac:dyDescent="0.25">
      <c r="A67" s="1007">
        <f t="shared" si="3"/>
        <v>42</v>
      </c>
      <c r="B67" s="1008"/>
      <c r="C67" s="1009" t="s">
        <v>1175</v>
      </c>
      <c r="D67" s="1431" t="s">
        <v>1173</v>
      </c>
      <c r="E67" s="1431"/>
      <c r="F67" s="1432"/>
      <c r="G67" s="1011" t="s">
        <v>459</v>
      </c>
      <c r="H67" s="822">
        <v>0</v>
      </c>
      <c r="I67" s="822">
        <v>0</v>
      </c>
      <c r="J67" s="822">
        <v>0</v>
      </c>
      <c r="K67" s="822">
        <v>0</v>
      </c>
      <c r="L67" s="640">
        <f>H67+J67</f>
        <v>0</v>
      </c>
      <c r="M67" s="640">
        <f>I67+K67</f>
        <v>0</v>
      </c>
      <c r="N67" s="125">
        <v>0</v>
      </c>
      <c r="O67" s="822">
        <v>0</v>
      </c>
      <c r="P67" s="1024">
        <f>L67-M67</f>
        <v>0</v>
      </c>
      <c r="Q67" s="269">
        <v>0</v>
      </c>
      <c r="S67" s="834">
        <v>0</v>
      </c>
      <c r="T67" s="1032">
        <f>M67+S67</f>
        <v>0</v>
      </c>
      <c r="U67" s="269">
        <v>0</v>
      </c>
    </row>
    <row r="68" spans="1:22" ht="12.75" customHeight="1" x14ac:dyDescent="0.25">
      <c r="A68" s="1015">
        <f>A65+1</f>
        <v>41</v>
      </c>
      <c r="B68" s="1016"/>
      <c r="C68" s="1227" t="s">
        <v>1063</v>
      </c>
      <c r="D68" s="1227"/>
      <c r="E68" s="1227"/>
      <c r="F68" s="1228"/>
      <c r="G68" s="1229"/>
      <c r="H68" s="1230">
        <f t="shared" ref="H68:M68" si="95">SUM(H6,H30,H59)</f>
        <v>174963.40036999999</v>
      </c>
      <c r="I68" s="1231">
        <f t="shared" si="95"/>
        <v>138893.16681</v>
      </c>
      <c r="J68" s="1231">
        <f t="shared" si="95"/>
        <v>1783643.4087699999</v>
      </c>
      <c r="K68" s="1231">
        <f t="shared" si="95"/>
        <v>1866067.01067</v>
      </c>
      <c r="L68" s="1231">
        <f t="shared" si="95"/>
        <v>1958606.8091399998</v>
      </c>
      <c r="M68" s="1231">
        <f t="shared" si="95"/>
        <v>2004960.1774800001</v>
      </c>
      <c r="N68" s="1232">
        <f>AVERAGE(N6,N30,N59)</f>
        <v>84.185432098765432</v>
      </c>
      <c r="O68" s="1231">
        <f>SUM(O6,O30,O59)</f>
        <v>1485.46865</v>
      </c>
      <c r="P68" s="1231">
        <f>SUM(P6,P30,P59)</f>
        <v>-46353.368340000139</v>
      </c>
      <c r="Q68" s="1233">
        <f>SUM(Q6,Q30,Q59)</f>
        <v>7309.5716300000004</v>
      </c>
      <c r="S68" s="1234">
        <f>SUM(S6,S30,S59)</f>
        <v>3583.8273200000003</v>
      </c>
      <c r="T68" s="1233">
        <f>SUM(T6,T30,T59)</f>
        <v>2008544.0048</v>
      </c>
      <c r="U68" s="1235">
        <f>SUM(U6,U30,U59)</f>
        <v>3582.2377700000002</v>
      </c>
      <c r="V68" s="123"/>
    </row>
    <row r="69" spans="1:22" ht="12.75" customHeight="1" thickBot="1" x14ac:dyDescent="0.3">
      <c r="A69" s="1033">
        <f t="shared" si="3"/>
        <v>42</v>
      </c>
      <c r="B69" s="1034"/>
      <c r="C69" s="1236" t="s">
        <v>1059</v>
      </c>
      <c r="D69" s="1236"/>
      <c r="E69" s="1236"/>
      <c r="F69" s="1237"/>
      <c r="G69" s="1238" t="s">
        <v>459</v>
      </c>
      <c r="H69" s="1239">
        <f t="shared" ref="H69:M69" si="96">SUM(H18,H49,H65)</f>
        <v>1189189.98447</v>
      </c>
      <c r="I69" s="1240">
        <f t="shared" si="96"/>
        <v>650949.67412799993</v>
      </c>
      <c r="J69" s="1240">
        <f t="shared" si="96"/>
        <v>337424.46575999999</v>
      </c>
      <c r="K69" s="1240">
        <f t="shared" si="96"/>
        <v>247099.61399000001</v>
      </c>
      <c r="L69" s="1240">
        <f t="shared" si="96"/>
        <v>1526614.4502300001</v>
      </c>
      <c r="M69" s="1240">
        <f t="shared" si="96"/>
        <v>898049.28811800003</v>
      </c>
      <c r="N69" s="1241">
        <f>AVERAGE(N18,N49)</f>
        <v>82.793553333333335</v>
      </c>
      <c r="O69" s="1240">
        <f>SUM(O18,O49,O65)</f>
        <v>531838.04345999996</v>
      </c>
      <c r="P69" s="1240">
        <f>SUM(P18,P49,P65)</f>
        <v>628565.16211199993</v>
      </c>
      <c r="Q69" s="1242">
        <f>SUM(Q18,Q49,Q65)</f>
        <v>7276.0834200000008</v>
      </c>
      <c r="S69" s="1243">
        <f>SUM(S18,S49,S65)</f>
        <v>0</v>
      </c>
      <c r="T69" s="1242">
        <f>SUM(T18,T49,T65)</f>
        <v>898049.28811800003</v>
      </c>
      <c r="U69" s="1244">
        <f>SUM(U18,U49,U65)</f>
        <v>0</v>
      </c>
      <c r="V69" s="123"/>
    </row>
    <row r="70" spans="1:22" s="395" customFormat="1" ht="12.75" customHeight="1" thickBot="1" x14ac:dyDescent="0.3">
      <c r="A70" s="1035">
        <f t="shared" si="3"/>
        <v>43</v>
      </c>
      <c r="B70" s="1036"/>
      <c r="C70" s="1245" t="s">
        <v>1177</v>
      </c>
      <c r="D70" s="1245"/>
      <c r="E70" s="1245"/>
      <c r="F70" s="1246"/>
      <c r="G70" s="1247" t="s">
        <v>835</v>
      </c>
      <c r="H70" s="1248">
        <f t="shared" ref="H70:M70" si="97">SUM(H68:H69)</f>
        <v>1364153.38484</v>
      </c>
      <c r="I70" s="1079">
        <f t="shared" si="97"/>
        <v>789842.84093799989</v>
      </c>
      <c r="J70" s="1079">
        <f t="shared" si="97"/>
        <v>2121067.8745299997</v>
      </c>
      <c r="K70" s="1079">
        <f t="shared" si="97"/>
        <v>2113166.6246600002</v>
      </c>
      <c r="L70" s="1079">
        <f t="shared" si="97"/>
        <v>3485221.2593700001</v>
      </c>
      <c r="M70" s="1079">
        <f t="shared" si="97"/>
        <v>2903009.4655980002</v>
      </c>
      <c r="N70" s="1249">
        <f>AVERAGE(N68,N69)</f>
        <v>83.489492716049384</v>
      </c>
      <c r="O70" s="1079">
        <f>SUM(O68:O69)</f>
        <v>533323.51211000001</v>
      </c>
      <c r="P70" s="1079">
        <f>SUM(P68:P69)</f>
        <v>582211.79377199977</v>
      </c>
      <c r="Q70" s="1080">
        <f>SUM(Q68:Q69)</f>
        <v>14585.655050000001</v>
      </c>
      <c r="R70"/>
      <c r="S70" s="1081">
        <f>SUM(S68:S69)</f>
        <v>3583.8273200000003</v>
      </c>
      <c r="T70" s="1080">
        <f>SUM(T68:T69)</f>
        <v>2906593.2929179999</v>
      </c>
      <c r="U70" s="1250">
        <f>SUM(U68:U69)</f>
        <v>3582.2377700000002</v>
      </c>
    </row>
    <row r="71" spans="1:22" ht="9" customHeight="1" x14ac:dyDescent="0.25">
      <c r="A71" s="827"/>
      <c r="B71" s="827"/>
      <c r="C71" s="124"/>
      <c r="D71" s="124"/>
      <c r="E71" s="124"/>
      <c r="F71" s="124"/>
      <c r="G71" s="124"/>
      <c r="H71" s="124"/>
      <c r="I71" s="124"/>
      <c r="J71" s="124"/>
      <c r="K71" s="124"/>
      <c r="L71" s="124"/>
      <c r="M71" s="124"/>
      <c r="N71" s="124"/>
      <c r="O71" s="124"/>
      <c r="P71" s="124"/>
      <c r="Q71" s="124"/>
      <c r="S71" s="124"/>
      <c r="T71" s="124"/>
    </row>
    <row r="72" spans="1:22" s="170" customFormat="1" ht="24.6" customHeight="1" x14ac:dyDescent="0.25">
      <c r="A72" s="1393" t="s">
        <v>1258</v>
      </c>
      <c r="B72" s="1393"/>
      <c r="C72" s="1394"/>
      <c r="D72" s="1394"/>
      <c r="E72" s="1394"/>
      <c r="F72" s="1394"/>
      <c r="G72" s="1394"/>
      <c r="H72" s="1394"/>
      <c r="I72" s="1394"/>
      <c r="J72" s="1394"/>
      <c r="K72" s="1394"/>
      <c r="L72" s="1394"/>
      <c r="M72" s="1394"/>
      <c r="N72" s="1394"/>
      <c r="O72" s="1394"/>
      <c r="P72" s="1394"/>
      <c r="Q72" s="1394"/>
      <c r="R72" s="1469"/>
      <c r="S72" s="1469"/>
      <c r="T72" s="1469"/>
      <c r="U72" s="1469"/>
    </row>
    <row r="73" spans="1:22" s="170" customFormat="1" ht="11.25" customHeight="1" x14ac:dyDescent="0.25">
      <c r="A73" s="1393" t="s">
        <v>992</v>
      </c>
      <c r="B73" s="1393"/>
      <c r="C73" s="1394"/>
      <c r="D73" s="1394"/>
      <c r="E73" s="1394"/>
      <c r="F73" s="1394"/>
      <c r="G73" s="1394"/>
      <c r="H73" s="1394"/>
      <c r="I73" s="1394"/>
      <c r="J73" s="1394"/>
      <c r="K73" s="1394"/>
      <c r="L73" s="1394"/>
      <c r="M73" s="1394"/>
      <c r="N73" s="1394"/>
      <c r="O73" s="1394"/>
      <c r="P73" s="1394"/>
      <c r="Q73" s="1394"/>
      <c r="R73" s="1395"/>
      <c r="S73" s="1395"/>
      <c r="T73" s="1395"/>
      <c r="U73" s="1395"/>
    </row>
    <row r="74" spans="1:22" s="170" customFormat="1" ht="11.25" customHeight="1" x14ac:dyDescent="0.25">
      <c r="A74" s="1393" t="s">
        <v>816</v>
      </c>
      <c r="B74" s="1393"/>
      <c r="C74" s="1394"/>
      <c r="D74" s="1394"/>
      <c r="E74" s="1394"/>
      <c r="F74" s="1394"/>
      <c r="G74" s="1394"/>
      <c r="H74" s="1394"/>
      <c r="I74" s="1394"/>
      <c r="J74" s="1394"/>
      <c r="K74" s="1394"/>
      <c r="L74" s="1394"/>
      <c r="M74" s="1394"/>
      <c r="N74" s="1394"/>
      <c r="O74" s="1394"/>
      <c r="P74" s="1394"/>
      <c r="Q74" s="1394"/>
      <c r="R74" s="1395"/>
      <c r="S74" s="1395"/>
      <c r="T74" s="1395"/>
      <c r="U74" s="1395"/>
    </row>
    <row r="75" spans="1:22" s="170" customFormat="1" ht="11.25" customHeight="1" x14ac:dyDescent="0.25">
      <c r="A75" s="1393" t="s">
        <v>993</v>
      </c>
      <c r="B75" s="1393"/>
      <c r="C75" s="1394"/>
      <c r="D75" s="1394"/>
      <c r="E75" s="1394"/>
      <c r="F75" s="1394"/>
      <c r="G75" s="1394"/>
      <c r="H75" s="1394"/>
      <c r="I75" s="1394"/>
      <c r="J75" s="1394"/>
      <c r="K75" s="1394"/>
      <c r="L75" s="1394"/>
      <c r="M75" s="1394"/>
      <c r="N75" s="1394"/>
      <c r="O75" s="1394"/>
      <c r="P75" s="1394"/>
      <c r="Q75" s="1394"/>
      <c r="R75" s="1395"/>
      <c r="S75" s="1395"/>
      <c r="T75" s="1395"/>
      <c r="U75" s="1395"/>
    </row>
    <row r="76" spans="1:22" s="170" customFormat="1" ht="11.25" customHeight="1" x14ac:dyDescent="0.25">
      <c r="A76" s="1393" t="s">
        <v>1101</v>
      </c>
      <c r="B76" s="1393"/>
      <c r="C76" s="1394"/>
      <c r="D76" s="1394"/>
      <c r="E76" s="1394"/>
      <c r="F76" s="1394"/>
      <c r="G76" s="1394"/>
      <c r="H76" s="1394"/>
      <c r="I76" s="1394"/>
      <c r="J76" s="1394"/>
      <c r="K76" s="1394"/>
      <c r="L76" s="1394"/>
      <c r="M76" s="1394"/>
      <c r="N76" s="1394"/>
      <c r="O76" s="1394"/>
      <c r="P76" s="1394"/>
      <c r="Q76" s="1394"/>
      <c r="R76" s="1395"/>
      <c r="S76" s="1395"/>
      <c r="T76" s="1395"/>
      <c r="U76" s="1395"/>
    </row>
    <row r="77" spans="1:22" s="170" customFormat="1" ht="11.25" customHeight="1" x14ac:dyDescent="0.25">
      <c r="A77" s="1393" t="s">
        <v>994</v>
      </c>
      <c r="B77" s="1393"/>
      <c r="C77" s="1394"/>
      <c r="D77" s="1394"/>
      <c r="E77" s="1394"/>
      <c r="F77" s="1394"/>
      <c r="G77" s="1394"/>
      <c r="H77" s="1394"/>
      <c r="I77" s="1394"/>
      <c r="J77" s="1394"/>
      <c r="K77" s="1394"/>
      <c r="L77" s="1394"/>
      <c r="M77" s="1394"/>
      <c r="N77" s="1394"/>
      <c r="O77" s="1394"/>
      <c r="P77" s="1394"/>
      <c r="Q77" s="1394"/>
      <c r="R77" s="1395"/>
      <c r="S77" s="1395"/>
      <c r="T77" s="1395"/>
      <c r="U77" s="1395"/>
    </row>
    <row r="78" spans="1:22" s="170" customFormat="1" ht="11.25" customHeight="1" x14ac:dyDescent="0.25">
      <c r="A78" s="1393" t="s">
        <v>817</v>
      </c>
      <c r="B78" s="1393"/>
      <c r="C78" s="1394"/>
      <c r="D78" s="1394"/>
      <c r="E78" s="1394"/>
      <c r="F78" s="1394"/>
      <c r="G78" s="1394"/>
      <c r="H78" s="1394"/>
      <c r="I78" s="1394"/>
      <c r="J78" s="1394"/>
      <c r="K78" s="1394"/>
      <c r="L78" s="1394"/>
      <c r="M78" s="1394"/>
      <c r="N78" s="1394"/>
      <c r="O78" s="1394"/>
      <c r="P78" s="1394"/>
      <c r="Q78" s="1394"/>
      <c r="R78" s="1395"/>
      <c r="S78" s="1395"/>
      <c r="T78" s="1395"/>
      <c r="U78" s="1395"/>
    </row>
    <row r="79" spans="1:22" s="170" customFormat="1" ht="11.25" customHeight="1" x14ac:dyDescent="0.25">
      <c r="A79" s="1458" t="s">
        <v>589</v>
      </c>
      <c r="B79" s="1458"/>
      <c r="C79" s="1473"/>
      <c r="D79" s="1473"/>
      <c r="E79" s="1473"/>
      <c r="F79" s="1473"/>
      <c r="G79" s="1473"/>
      <c r="H79" s="1473"/>
      <c r="I79" s="1473"/>
      <c r="J79" s="1473"/>
      <c r="K79" s="1473"/>
      <c r="L79" s="1473"/>
      <c r="M79" s="1473"/>
      <c r="N79" s="1473"/>
      <c r="O79" s="1473"/>
      <c r="P79" s="1473"/>
      <c r="Q79" s="1473"/>
      <c r="R79" s="1395"/>
      <c r="S79" s="1395"/>
      <c r="T79" s="1395"/>
      <c r="U79" s="1395"/>
    </row>
    <row r="80" spans="1:22" s="170" customFormat="1" ht="11.25" customHeight="1" x14ac:dyDescent="0.25">
      <c r="A80" s="1393" t="s">
        <v>995</v>
      </c>
      <c r="B80" s="1393"/>
      <c r="C80" s="1394"/>
      <c r="D80" s="1394"/>
      <c r="E80" s="1394"/>
      <c r="F80" s="1394"/>
      <c r="G80" s="1394"/>
      <c r="H80" s="1394"/>
      <c r="I80" s="1394"/>
      <c r="J80" s="1394"/>
      <c r="K80" s="1394"/>
      <c r="L80" s="1394"/>
      <c r="M80" s="1394"/>
      <c r="N80" s="1394"/>
      <c r="O80" s="1394"/>
      <c r="P80" s="1394"/>
      <c r="Q80" s="1394"/>
      <c r="R80" s="1395"/>
      <c r="S80" s="1395"/>
      <c r="T80" s="1395"/>
      <c r="U80" s="1395"/>
    </row>
    <row r="81" spans="1:21" ht="11.25" customHeight="1" x14ac:dyDescent="0.25">
      <c r="A81" s="1393" t="s">
        <v>1260</v>
      </c>
      <c r="B81" s="1393"/>
      <c r="C81" s="1394"/>
      <c r="D81" s="1394"/>
      <c r="E81" s="1394"/>
      <c r="F81" s="1394"/>
      <c r="G81" s="1394"/>
      <c r="H81" s="1394"/>
      <c r="I81" s="1394"/>
      <c r="J81" s="1394"/>
      <c r="K81" s="1394"/>
      <c r="L81" s="1394"/>
      <c r="M81" s="1394"/>
      <c r="N81" s="1394"/>
      <c r="O81" s="1394"/>
      <c r="P81" s="1394"/>
      <c r="Q81" s="1394"/>
      <c r="R81" s="1472"/>
      <c r="S81" s="1472"/>
      <c r="T81" s="1472"/>
      <c r="U81" s="1472"/>
    </row>
    <row r="82" spans="1:21" ht="11.25" customHeight="1" x14ac:dyDescent="0.25">
      <c r="A82" s="1470" t="s">
        <v>1240</v>
      </c>
      <c r="B82" s="1470"/>
      <c r="C82" s="1471"/>
      <c r="D82" s="1471"/>
      <c r="E82" s="1471"/>
      <c r="F82" s="1471"/>
      <c r="G82" s="1471"/>
      <c r="H82" s="1471"/>
      <c r="I82" s="1471"/>
      <c r="J82" s="1471"/>
      <c r="K82" s="1471"/>
      <c r="L82" s="1471"/>
      <c r="M82" s="1471"/>
      <c r="N82" s="1471"/>
      <c r="O82" s="1471"/>
      <c r="P82" s="1471"/>
      <c r="Q82" s="1471"/>
    </row>
    <row r="83" spans="1:21" x14ac:dyDescent="0.25">
      <c r="A83" s="1458"/>
      <c r="B83" s="1393"/>
      <c r="C83" s="1394"/>
      <c r="D83" s="1394"/>
      <c r="E83" s="1394"/>
      <c r="F83" s="1394"/>
      <c r="G83" s="1394"/>
      <c r="H83" s="1394"/>
      <c r="I83" s="1394"/>
      <c r="J83" s="1394"/>
      <c r="K83" s="1394"/>
      <c r="L83" s="1394"/>
      <c r="M83" s="1394"/>
      <c r="N83" s="1394"/>
      <c r="O83" s="1394"/>
      <c r="P83" s="1394"/>
      <c r="Q83" s="1394"/>
    </row>
  </sheetData>
  <mergeCells count="64">
    <mergeCell ref="L3:M3"/>
    <mergeCell ref="A72:U72"/>
    <mergeCell ref="A82:Q82"/>
    <mergeCell ref="A80:U80"/>
    <mergeCell ref="A81:U81"/>
    <mergeCell ref="A74:U74"/>
    <mergeCell ref="A75:U75"/>
    <mergeCell ref="A76:U76"/>
    <mergeCell ref="A77:U77"/>
    <mergeCell ref="A78:U78"/>
    <mergeCell ref="A79:U79"/>
    <mergeCell ref="A73:U73"/>
    <mergeCell ref="C60:F60"/>
    <mergeCell ref="D48:F48"/>
    <mergeCell ref="C49:F49"/>
    <mergeCell ref="C50:F50"/>
    <mergeCell ref="C66:F66"/>
    <mergeCell ref="D67:F67"/>
    <mergeCell ref="A83:Q83"/>
    <mergeCell ref="U3:U4"/>
    <mergeCell ref="C6:F6"/>
    <mergeCell ref="C7:F7"/>
    <mergeCell ref="C18:F18"/>
    <mergeCell ref="C19:F19"/>
    <mergeCell ref="N3:N4"/>
    <mergeCell ref="O3:O4"/>
    <mergeCell ref="P3:P4"/>
    <mergeCell ref="Q3:Q4"/>
    <mergeCell ref="C14:F14"/>
    <mergeCell ref="C11:F11"/>
    <mergeCell ref="S3:S4"/>
    <mergeCell ref="T3:T4"/>
    <mergeCell ref="G3:G5"/>
    <mergeCell ref="H3:I3"/>
    <mergeCell ref="J3:K3"/>
    <mergeCell ref="D64:F64"/>
    <mergeCell ref="C65:F65"/>
    <mergeCell ref="D51:F51"/>
    <mergeCell ref="D52:F52"/>
    <mergeCell ref="D55:F55"/>
    <mergeCell ref="D58:F58"/>
    <mergeCell ref="C53:F53"/>
    <mergeCell ref="D54:F54"/>
    <mergeCell ref="C23:F23"/>
    <mergeCell ref="C27:F27"/>
    <mergeCell ref="C56:F56"/>
    <mergeCell ref="D57:F57"/>
    <mergeCell ref="C59:F59"/>
    <mergeCell ref="D33:F33"/>
    <mergeCell ref="C34:F34"/>
    <mergeCell ref="D61:F61"/>
    <mergeCell ref="A3:A5"/>
    <mergeCell ref="C3:F5"/>
    <mergeCell ref="C37:F37"/>
    <mergeCell ref="D38:F38"/>
    <mergeCell ref="C47:F47"/>
    <mergeCell ref="C26:F26"/>
    <mergeCell ref="C39:F39"/>
    <mergeCell ref="C41:F41"/>
    <mergeCell ref="C42:F42"/>
    <mergeCell ref="C43:F43"/>
    <mergeCell ref="C45:F45"/>
    <mergeCell ref="C31:F31"/>
    <mergeCell ref="C30:F30"/>
  </mergeCells>
  <printOptions horizontalCentered="1"/>
  <pageMargins left="0.39370078740157483" right="0.19685039370078741" top="0.43307086614173229" bottom="3.937007874015748E-2" header="0" footer="0"/>
  <pageSetup paperSize="9" scale="67" fitToHeight="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O46"/>
  <sheetViews>
    <sheetView zoomScaleNormal="100" workbookViewId="0">
      <selection activeCell="B151" sqref="B151"/>
    </sheetView>
  </sheetViews>
  <sheetFormatPr defaultColWidth="9.140625" defaultRowHeight="12.75" x14ac:dyDescent="0.25"/>
  <cols>
    <col min="1" max="1" width="3.28515625" style="3" customWidth="1"/>
    <col min="2" max="2" width="7.85546875" style="3" customWidth="1"/>
    <col min="3" max="3" width="56.7109375" style="3" customWidth="1"/>
    <col min="4" max="4" width="3.28515625" style="3" customWidth="1"/>
    <col min="5" max="5" width="16.5703125" style="3" customWidth="1"/>
    <col min="6" max="6" width="3.28515625" style="3" customWidth="1"/>
    <col min="7" max="7" width="16.5703125" style="3" customWidth="1"/>
    <col min="8" max="8" width="3.28515625" style="3" customWidth="1"/>
    <col min="9" max="9" width="16.5703125" style="3" customWidth="1"/>
    <col min="10" max="10" width="2.42578125" style="3" customWidth="1"/>
    <col min="11" max="16384" width="9.140625" style="3"/>
  </cols>
  <sheetData>
    <row r="1" spans="1:15" ht="28.5" x14ac:dyDescent="0.25">
      <c r="A1" s="355" t="s">
        <v>818</v>
      </c>
      <c r="B1" s="140"/>
      <c r="C1" s="140"/>
      <c r="D1" s="140"/>
      <c r="E1" s="8"/>
      <c r="F1" s="106"/>
      <c r="G1" s="8"/>
      <c r="H1" s="8"/>
      <c r="I1" s="141"/>
      <c r="J1" s="8"/>
    </row>
    <row r="2" spans="1:15" s="1" customFormat="1" ht="22.5" customHeight="1" thickBot="1" x14ac:dyDescent="0.3">
      <c r="A2" s="8"/>
      <c r="B2" s="8"/>
      <c r="C2" s="8"/>
      <c r="D2" s="8"/>
      <c r="E2" s="8"/>
      <c r="F2" s="8"/>
      <c r="G2" s="8"/>
      <c r="H2" s="8"/>
      <c r="I2" s="341" t="s">
        <v>623</v>
      </c>
      <c r="J2" s="8"/>
    </row>
    <row r="3" spans="1:15" s="4" customFormat="1" ht="19.5" customHeight="1" x14ac:dyDescent="0.2">
      <c r="A3" s="1492" t="s">
        <v>341</v>
      </c>
      <c r="B3" s="1494" t="s">
        <v>509</v>
      </c>
      <c r="C3" s="1494"/>
      <c r="D3" s="1476" t="s">
        <v>819</v>
      </c>
      <c r="E3" s="1477"/>
      <c r="F3" s="1477"/>
      <c r="G3" s="1477"/>
      <c r="H3" s="1477"/>
      <c r="I3" s="1478"/>
      <c r="J3" s="107"/>
    </row>
    <row r="4" spans="1:15" s="4" customFormat="1" ht="13.5" customHeight="1" thickBot="1" x14ac:dyDescent="0.25">
      <c r="A4" s="1493"/>
      <c r="B4" s="1495"/>
      <c r="C4" s="1495"/>
      <c r="D4" s="1479" t="s">
        <v>1068</v>
      </c>
      <c r="E4" s="1480"/>
      <c r="F4" s="1479" t="s">
        <v>361</v>
      </c>
      <c r="G4" s="1480"/>
      <c r="H4" s="1479" t="s">
        <v>360</v>
      </c>
      <c r="I4" s="1488"/>
      <c r="J4" s="107"/>
    </row>
    <row r="5" spans="1:15" s="4" customFormat="1" ht="12.75" customHeight="1" x14ac:dyDescent="0.2">
      <c r="A5" s="421" t="s">
        <v>603</v>
      </c>
      <c r="B5" s="1496" t="s">
        <v>925</v>
      </c>
      <c r="C5" s="1496"/>
      <c r="D5" s="1489">
        <f>SUM(D6:E10)</f>
        <v>15926.613809999999</v>
      </c>
      <c r="E5" s="1490"/>
      <c r="F5" s="1489">
        <f>SUM(F6:G10)</f>
        <v>23270.78486</v>
      </c>
      <c r="G5" s="1490"/>
      <c r="H5" s="1486">
        <f t="shared" ref="H5:H11" si="0">SUM(D5+F5)</f>
        <v>39197.398669999995</v>
      </c>
      <c r="I5" s="1487"/>
      <c r="J5" s="107"/>
    </row>
    <row r="6" spans="1:15" s="4" customFormat="1" ht="12.75" customHeight="1" x14ac:dyDescent="0.2">
      <c r="A6" s="143" t="s">
        <v>604</v>
      </c>
      <c r="B6" s="1497" t="s">
        <v>468</v>
      </c>
      <c r="C6" s="144" t="s">
        <v>598</v>
      </c>
      <c r="D6" s="1481">
        <v>363.51497000000001</v>
      </c>
      <c r="E6" s="1482"/>
      <c r="F6" s="1483">
        <v>40.961170000000003</v>
      </c>
      <c r="G6" s="1482"/>
      <c r="H6" s="1491">
        <f t="shared" si="0"/>
        <v>404.47613999999999</v>
      </c>
      <c r="I6" s="1475"/>
      <c r="J6" s="107"/>
    </row>
    <row r="7" spans="1:15" s="4" customFormat="1" ht="12.75" customHeight="1" x14ac:dyDescent="0.2">
      <c r="A7" s="143" t="s">
        <v>605</v>
      </c>
      <c r="B7" s="1498"/>
      <c r="C7" s="144" t="s">
        <v>599</v>
      </c>
      <c r="D7" s="1481">
        <v>13260.0232</v>
      </c>
      <c r="E7" s="1482"/>
      <c r="F7" s="1483">
        <v>13055.150509999999</v>
      </c>
      <c r="G7" s="1484"/>
      <c r="H7" s="1491">
        <f t="shared" si="0"/>
        <v>26315.173709999999</v>
      </c>
      <c r="I7" s="1475"/>
      <c r="J7" s="107"/>
    </row>
    <row r="8" spans="1:15" s="4" customFormat="1" ht="12.75" customHeight="1" x14ac:dyDescent="0.2">
      <c r="A8" s="143" t="s">
        <v>606</v>
      </c>
      <c r="B8" s="1498"/>
      <c r="C8" s="144" t="s">
        <v>600</v>
      </c>
      <c r="D8" s="1481">
        <v>2301.07564</v>
      </c>
      <c r="E8" s="1482"/>
      <c r="F8" s="1483">
        <v>966.90067999999997</v>
      </c>
      <c r="G8" s="1484"/>
      <c r="H8" s="1491">
        <f t="shared" si="0"/>
        <v>3267.9763199999998</v>
      </c>
      <c r="I8" s="1475"/>
      <c r="J8" s="107"/>
    </row>
    <row r="9" spans="1:15" s="4" customFormat="1" ht="12.75" customHeight="1" x14ac:dyDescent="0.2">
      <c r="A9" s="143" t="s">
        <v>607</v>
      </c>
      <c r="B9" s="1498"/>
      <c r="C9" s="144" t="s">
        <v>601</v>
      </c>
      <c r="D9" s="1481">
        <v>2</v>
      </c>
      <c r="E9" s="1484"/>
      <c r="F9" s="1483">
        <v>9207.7724999999991</v>
      </c>
      <c r="G9" s="1484"/>
      <c r="H9" s="1491">
        <f t="shared" ref="H9" si="1">SUM(D9+F9)</f>
        <v>9209.7724999999991</v>
      </c>
      <c r="I9" s="1475"/>
      <c r="J9" s="107"/>
    </row>
    <row r="10" spans="1:15" s="4" customFormat="1" ht="12.75" customHeight="1" x14ac:dyDescent="0.2">
      <c r="A10" s="143" t="s">
        <v>1284</v>
      </c>
      <c r="B10" s="1499"/>
      <c r="C10" s="145" t="s">
        <v>1283</v>
      </c>
      <c r="D10" s="1481">
        <v>0</v>
      </c>
      <c r="E10" s="1482"/>
      <c r="F10" s="1483">
        <v>0</v>
      </c>
      <c r="G10" s="1484"/>
      <c r="H10" s="1491">
        <f t="shared" si="0"/>
        <v>0</v>
      </c>
      <c r="I10" s="1475"/>
      <c r="J10" s="107"/>
    </row>
    <row r="11" spans="1:15" s="4" customFormat="1" ht="12.75" customHeight="1" x14ac:dyDescent="0.2">
      <c r="A11" s="422" t="s">
        <v>608</v>
      </c>
      <c r="B11" s="1500" t="s">
        <v>1285</v>
      </c>
      <c r="C11" s="1501"/>
      <c r="D11" s="1485">
        <v>2017675.3880700001</v>
      </c>
      <c r="E11" s="1484"/>
      <c r="F11" s="1485">
        <v>324070.77192000003</v>
      </c>
      <c r="G11" s="1484"/>
      <c r="H11" s="1474">
        <f t="shared" si="0"/>
        <v>2341746.1599900001</v>
      </c>
      <c r="I11" s="1475"/>
      <c r="J11" s="107"/>
    </row>
    <row r="12" spans="1:15" s="4" customFormat="1" ht="12.75" customHeight="1" x14ac:dyDescent="0.2">
      <c r="A12" s="717" t="s">
        <v>1067</v>
      </c>
      <c r="B12" s="718" t="s">
        <v>362</v>
      </c>
      <c r="C12" s="719" t="s">
        <v>1286</v>
      </c>
      <c r="D12" s="794">
        <v>0</v>
      </c>
      <c r="E12" s="157"/>
      <c r="F12" s="795">
        <v>9</v>
      </c>
      <c r="G12" s="157">
        <v>991.24459999999999</v>
      </c>
      <c r="H12" s="721">
        <f>D12+F12</f>
        <v>9</v>
      </c>
      <c r="I12" s="720">
        <f>E12+G12</f>
        <v>991.24459999999999</v>
      </c>
      <c r="J12" s="107"/>
    </row>
    <row r="13" spans="1:15" s="4" customFormat="1" ht="12.75" customHeight="1" x14ac:dyDescent="0.2">
      <c r="A13" s="422" t="s">
        <v>539</v>
      </c>
      <c r="B13" s="423" t="s">
        <v>505</v>
      </c>
      <c r="C13" s="424"/>
      <c r="D13" s="1485">
        <f>SUM(D14:E17)</f>
        <v>15234.71091</v>
      </c>
      <c r="E13" s="1484"/>
      <c r="F13" s="1485">
        <f>SUM(F14:G17)</f>
        <v>98565.799050000001</v>
      </c>
      <c r="G13" s="1484"/>
      <c r="H13" s="1474">
        <f t="shared" ref="H13:H23" si="2">SUM(D13+F13)</f>
        <v>113800.50996</v>
      </c>
      <c r="I13" s="1475"/>
      <c r="J13" s="107"/>
    </row>
    <row r="14" spans="1:15" s="4" customFormat="1" ht="12.75" customHeight="1" x14ac:dyDescent="0.2">
      <c r="A14" s="143" t="s">
        <v>609</v>
      </c>
      <c r="B14" s="1497" t="s">
        <v>468</v>
      </c>
      <c r="C14" s="146" t="s">
        <v>364</v>
      </c>
      <c r="D14" s="1481">
        <v>0</v>
      </c>
      <c r="E14" s="1482"/>
      <c r="F14" s="1483">
        <v>340</v>
      </c>
      <c r="G14" s="1484"/>
      <c r="H14" s="1491">
        <f t="shared" si="2"/>
        <v>340</v>
      </c>
      <c r="I14" s="1475"/>
      <c r="J14" s="107"/>
      <c r="O14" s="1268"/>
    </row>
    <row r="15" spans="1:15" s="4" customFormat="1" ht="12.75" customHeight="1" x14ac:dyDescent="0.2">
      <c r="A15" s="143" t="s">
        <v>610</v>
      </c>
      <c r="B15" s="1498"/>
      <c r="C15" s="146" t="s">
        <v>363</v>
      </c>
      <c r="D15" s="1481">
        <v>1.65289</v>
      </c>
      <c r="E15" s="1482"/>
      <c r="F15" s="1483">
        <v>1117.4503199999999</v>
      </c>
      <c r="G15" s="1484"/>
      <c r="H15" s="1491">
        <f t="shared" si="2"/>
        <v>1119.10321</v>
      </c>
      <c r="I15" s="1475"/>
      <c r="J15" s="107"/>
      <c r="O15" s="1268"/>
    </row>
    <row r="16" spans="1:15" s="4" customFormat="1" ht="12.75" customHeight="1" x14ac:dyDescent="0.2">
      <c r="A16" s="143" t="s">
        <v>611</v>
      </c>
      <c r="B16" s="1498"/>
      <c r="C16" s="146" t="s">
        <v>1287</v>
      </c>
      <c r="D16" s="1481">
        <v>13947.281300000001</v>
      </c>
      <c r="E16" s="1482"/>
      <c r="F16" s="1483">
        <v>80148.099059999993</v>
      </c>
      <c r="G16" s="1484"/>
      <c r="H16" s="1491">
        <f t="shared" si="2"/>
        <v>94095.380359999996</v>
      </c>
      <c r="I16" s="1475"/>
      <c r="J16" s="107"/>
      <c r="O16" s="1268"/>
    </row>
    <row r="17" spans="1:15" s="4" customFormat="1" ht="12.75" customHeight="1" x14ac:dyDescent="0.2">
      <c r="A17" s="143" t="s">
        <v>612</v>
      </c>
      <c r="B17" s="1499"/>
      <c r="C17" s="146" t="s">
        <v>345</v>
      </c>
      <c r="D17" s="1481">
        <v>1285.7767200000001</v>
      </c>
      <c r="E17" s="1482"/>
      <c r="F17" s="1483">
        <v>16960.249670000001</v>
      </c>
      <c r="G17" s="1484"/>
      <c r="H17" s="1491">
        <f t="shared" si="2"/>
        <v>18246.026390000003</v>
      </c>
      <c r="I17" s="1475"/>
      <c r="J17" s="107"/>
      <c r="O17" s="1268"/>
    </row>
    <row r="18" spans="1:15" s="4" customFormat="1" ht="12.75" customHeight="1" x14ac:dyDescent="0.2">
      <c r="A18" s="422" t="s">
        <v>541</v>
      </c>
      <c r="B18" s="423" t="s">
        <v>506</v>
      </c>
      <c r="C18" s="424"/>
      <c r="D18" s="1485">
        <f>SUM(D19:E21)</f>
        <v>401.85236999999995</v>
      </c>
      <c r="E18" s="1482"/>
      <c r="F18" s="1485">
        <f>SUM(F19:G21)</f>
        <v>474.39010000000002</v>
      </c>
      <c r="G18" s="1482"/>
      <c r="H18" s="1474">
        <f t="shared" si="2"/>
        <v>876.24246999999991</v>
      </c>
      <c r="I18" s="1507"/>
      <c r="J18" s="107"/>
    </row>
    <row r="19" spans="1:15" s="4" customFormat="1" ht="12.75" customHeight="1" x14ac:dyDescent="0.2">
      <c r="A19" s="143" t="s">
        <v>614</v>
      </c>
      <c r="B19" s="1497" t="s">
        <v>468</v>
      </c>
      <c r="C19" s="147" t="s">
        <v>364</v>
      </c>
      <c r="D19" s="1481">
        <v>248.07392999999999</v>
      </c>
      <c r="E19" s="1482"/>
      <c r="F19" s="1483">
        <v>0</v>
      </c>
      <c r="G19" s="1484"/>
      <c r="H19" s="1491">
        <f t="shared" si="2"/>
        <v>248.07392999999999</v>
      </c>
      <c r="I19" s="1475"/>
      <c r="J19" s="107"/>
    </row>
    <row r="20" spans="1:15" s="4" customFormat="1" ht="12.75" customHeight="1" x14ac:dyDescent="0.2">
      <c r="A20" s="143" t="s">
        <v>615</v>
      </c>
      <c r="B20" s="1498"/>
      <c r="C20" s="147" t="s">
        <v>363</v>
      </c>
      <c r="D20" s="1481">
        <v>0</v>
      </c>
      <c r="E20" s="1482"/>
      <c r="F20" s="1483">
        <v>0</v>
      </c>
      <c r="G20" s="1484"/>
      <c r="H20" s="1491">
        <f t="shared" si="2"/>
        <v>0</v>
      </c>
      <c r="I20" s="1475"/>
      <c r="J20" s="107"/>
    </row>
    <row r="21" spans="1:15" s="4" customFormat="1" ht="12.75" customHeight="1" x14ac:dyDescent="0.2">
      <c r="A21" s="143" t="s">
        <v>613</v>
      </c>
      <c r="B21" s="1499"/>
      <c r="C21" s="147" t="s">
        <v>345</v>
      </c>
      <c r="D21" s="1481">
        <v>153.77843999999999</v>
      </c>
      <c r="E21" s="1482"/>
      <c r="F21" s="1483">
        <v>474.39010000000002</v>
      </c>
      <c r="G21" s="1484"/>
      <c r="H21" s="1491">
        <f t="shared" si="2"/>
        <v>628.16854000000001</v>
      </c>
      <c r="I21" s="1475"/>
      <c r="J21" s="107"/>
    </row>
    <row r="22" spans="1:15" ht="12.75" customHeight="1" x14ac:dyDescent="0.2">
      <c r="A22" s="422" t="s">
        <v>616</v>
      </c>
      <c r="B22" s="1508" t="s">
        <v>507</v>
      </c>
      <c r="C22" s="1509"/>
      <c r="D22" s="1485">
        <v>23868.187429999998</v>
      </c>
      <c r="E22" s="1484"/>
      <c r="F22" s="1514">
        <v>20.98</v>
      </c>
      <c r="G22" s="1484"/>
      <c r="H22" s="1474">
        <f t="shared" si="2"/>
        <v>23889.167429999998</v>
      </c>
      <c r="I22" s="1475"/>
      <c r="J22" s="107"/>
    </row>
    <row r="23" spans="1:15" ht="12.75" customHeight="1" thickBot="1" x14ac:dyDescent="0.25">
      <c r="A23" s="425" t="s">
        <v>542</v>
      </c>
      <c r="B23" s="1510" t="s">
        <v>508</v>
      </c>
      <c r="C23" s="1511"/>
      <c r="D23" s="1503">
        <v>0.44557000000000002</v>
      </c>
      <c r="E23" s="1504"/>
      <c r="F23" s="1503">
        <v>0</v>
      </c>
      <c r="G23" s="1504"/>
      <c r="H23" s="1505">
        <f t="shared" si="2"/>
        <v>0.44557000000000002</v>
      </c>
      <c r="I23" s="1506"/>
      <c r="J23" s="107"/>
    </row>
    <row r="24" spans="1:15" x14ac:dyDescent="0.2">
      <c r="A24" s="107"/>
      <c r="B24" s="8"/>
      <c r="C24" s="8"/>
      <c r="D24" s="8"/>
      <c r="E24" s="8"/>
      <c r="F24" s="8"/>
      <c r="G24" s="8"/>
      <c r="H24" s="8"/>
      <c r="I24" s="8"/>
      <c r="J24" s="107"/>
    </row>
    <row r="25" spans="1:15" x14ac:dyDescent="0.2">
      <c r="A25" s="107" t="s">
        <v>467</v>
      </c>
      <c r="B25" s="8"/>
      <c r="C25" s="8"/>
      <c r="D25" s="8"/>
      <c r="E25" s="8"/>
      <c r="F25" s="8"/>
      <c r="G25" s="107"/>
      <c r="H25" s="107"/>
      <c r="I25" s="149"/>
      <c r="J25" s="107"/>
    </row>
    <row r="26" spans="1:15" x14ac:dyDescent="0.2">
      <c r="A26" s="1513" t="s">
        <v>620</v>
      </c>
      <c r="B26" s="1513"/>
      <c r="C26" s="1513"/>
      <c r="D26" s="1513"/>
      <c r="E26" s="1513"/>
      <c r="F26" s="1513"/>
      <c r="G26" s="1513"/>
      <c r="H26" s="1513"/>
      <c r="I26" s="1513"/>
      <c r="J26" s="107"/>
    </row>
    <row r="27" spans="1:15" ht="93.75" customHeight="1" x14ac:dyDescent="0.2">
      <c r="A27" s="1393" t="s">
        <v>1038</v>
      </c>
      <c r="B27" s="1502"/>
      <c r="C27" s="1502"/>
      <c r="D27" s="1502"/>
      <c r="E27" s="1502"/>
      <c r="F27" s="1502"/>
      <c r="G27" s="1502"/>
      <c r="H27" s="1502"/>
      <c r="I27" s="1502"/>
      <c r="J27" s="148"/>
    </row>
    <row r="28" spans="1:15" ht="93.6" customHeight="1" x14ac:dyDescent="0.2">
      <c r="A28" s="1393" t="s">
        <v>1039</v>
      </c>
      <c r="B28" s="1502"/>
      <c r="C28" s="1502"/>
      <c r="D28" s="1502"/>
      <c r="E28" s="1502"/>
      <c r="F28" s="1502"/>
      <c r="G28" s="1502"/>
      <c r="H28" s="1502"/>
      <c r="I28" s="1502"/>
      <c r="J28" s="148"/>
    </row>
    <row r="29" spans="1:15" ht="94.5" customHeight="1" x14ac:dyDescent="0.2">
      <c r="A29" s="1393" t="s">
        <v>1040</v>
      </c>
      <c r="B29" s="1502"/>
      <c r="C29" s="1502"/>
      <c r="D29" s="1502"/>
      <c r="E29" s="1502"/>
      <c r="F29" s="1502"/>
      <c r="G29" s="1502"/>
      <c r="H29" s="1502"/>
      <c r="I29" s="1502"/>
      <c r="J29" s="148"/>
    </row>
    <row r="30" spans="1:15" ht="68.25" customHeight="1" x14ac:dyDescent="0.2">
      <c r="A30" s="1393" t="s">
        <v>1041</v>
      </c>
      <c r="B30" s="1502"/>
      <c r="C30" s="1502"/>
      <c r="D30" s="1502"/>
      <c r="E30" s="1502"/>
      <c r="F30" s="1502"/>
      <c r="G30" s="1502"/>
      <c r="H30" s="1502"/>
      <c r="I30" s="1502"/>
      <c r="J30" s="148"/>
    </row>
    <row r="31" spans="1:15" ht="28.9" customHeight="1" x14ac:dyDescent="0.2">
      <c r="A31" s="1393" t="s">
        <v>1291</v>
      </c>
      <c r="B31" s="1512"/>
      <c r="C31" s="1512"/>
      <c r="D31" s="1512"/>
      <c r="E31" s="1512"/>
      <c r="F31" s="1512"/>
      <c r="G31" s="1512"/>
      <c r="H31" s="1512"/>
      <c r="I31" s="1512"/>
      <c r="J31" s="148"/>
    </row>
    <row r="32" spans="1:15" ht="45.75" customHeight="1" x14ac:dyDescent="0.2">
      <c r="A32" s="1393" t="s">
        <v>1290</v>
      </c>
      <c r="B32" s="1502"/>
      <c r="C32" s="1502"/>
      <c r="D32" s="1502"/>
      <c r="E32" s="1502"/>
      <c r="F32" s="1502"/>
      <c r="G32" s="1502"/>
      <c r="H32" s="1502"/>
      <c r="I32" s="1502"/>
      <c r="J32" s="148"/>
    </row>
    <row r="33" spans="1:10" ht="33.6" customHeight="1" x14ac:dyDescent="0.2">
      <c r="A33" s="1393" t="s">
        <v>1288</v>
      </c>
      <c r="B33" s="1512"/>
      <c r="C33" s="1512"/>
      <c r="D33" s="1512"/>
      <c r="E33" s="1512"/>
      <c r="F33" s="1512"/>
      <c r="G33" s="1512"/>
      <c r="H33" s="1512"/>
      <c r="I33" s="1512"/>
      <c r="J33" s="148"/>
    </row>
    <row r="34" spans="1:10" ht="20.45" customHeight="1" x14ac:dyDescent="0.2">
      <c r="A34" s="1393" t="s">
        <v>1289</v>
      </c>
      <c r="B34" s="1502"/>
      <c r="C34" s="1502"/>
      <c r="D34" s="1502"/>
      <c r="E34" s="1502"/>
      <c r="F34" s="1502"/>
      <c r="G34" s="1502"/>
      <c r="H34" s="1502"/>
      <c r="I34" s="1502"/>
      <c r="J34" s="148"/>
    </row>
    <row r="35" spans="1:10" x14ac:dyDescent="0.2">
      <c r="J35" s="148"/>
    </row>
    <row r="36" spans="1:10" x14ac:dyDescent="0.2">
      <c r="J36" s="148"/>
    </row>
    <row r="37" spans="1:10" x14ac:dyDescent="0.2">
      <c r="J37" s="148"/>
    </row>
    <row r="38" spans="1:10" x14ac:dyDescent="0.2">
      <c r="J38" s="148"/>
    </row>
    <row r="45" spans="1:10" x14ac:dyDescent="0.25">
      <c r="A45" s="2"/>
    </row>
    <row r="46" spans="1:10" x14ac:dyDescent="0.25">
      <c r="A46" s="2"/>
    </row>
  </sheetData>
  <sheetProtection formatRows="0" insertRows="0" deleteRows="0"/>
  <mergeCells count="76">
    <mergeCell ref="A31:I31"/>
    <mergeCell ref="H19:I19"/>
    <mergeCell ref="D17:E17"/>
    <mergeCell ref="F16:G16"/>
    <mergeCell ref="A30:I30"/>
    <mergeCell ref="A29:I29"/>
    <mergeCell ref="A26:I26"/>
    <mergeCell ref="H20:I20"/>
    <mergeCell ref="A27:I27"/>
    <mergeCell ref="F22:G22"/>
    <mergeCell ref="F23:G23"/>
    <mergeCell ref="D11:E11"/>
    <mergeCell ref="F8:G8"/>
    <mergeCell ref="F19:G19"/>
    <mergeCell ref="F14:G14"/>
    <mergeCell ref="F18:G18"/>
    <mergeCell ref="D15:E15"/>
    <mergeCell ref="D9:E9"/>
    <mergeCell ref="F9:G9"/>
    <mergeCell ref="A34:I34"/>
    <mergeCell ref="B14:B17"/>
    <mergeCell ref="B19:B21"/>
    <mergeCell ref="B22:C22"/>
    <mergeCell ref="B23:C23"/>
    <mergeCell ref="D19:E19"/>
    <mergeCell ref="A33:I33"/>
    <mergeCell ref="F20:G20"/>
    <mergeCell ref="F21:G21"/>
    <mergeCell ref="D16:E16"/>
    <mergeCell ref="F15:G15"/>
    <mergeCell ref="A28:I28"/>
    <mergeCell ref="D20:E20"/>
    <mergeCell ref="D21:E21"/>
    <mergeCell ref="H21:I21"/>
    <mergeCell ref="H22:I22"/>
    <mergeCell ref="B11:C11"/>
    <mergeCell ref="D14:E14"/>
    <mergeCell ref="D7:E7"/>
    <mergeCell ref="D13:E13"/>
    <mergeCell ref="A32:I32"/>
    <mergeCell ref="H17:I17"/>
    <mergeCell ref="H14:I14"/>
    <mergeCell ref="H15:I15"/>
    <mergeCell ref="H16:I16"/>
    <mergeCell ref="D23:E23"/>
    <mergeCell ref="D22:E22"/>
    <mergeCell ref="F17:G17"/>
    <mergeCell ref="D18:E18"/>
    <mergeCell ref="H23:I23"/>
    <mergeCell ref="F11:G11"/>
    <mergeCell ref="H18:I18"/>
    <mergeCell ref="A3:A4"/>
    <mergeCell ref="B3:C4"/>
    <mergeCell ref="B5:C5"/>
    <mergeCell ref="B6:B10"/>
    <mergeCell ref="H7:I7"/>
    <mergeCell ref="H8:I8"/>
    <mergeCell ref="H10:I10"/>
    <mergeCell ref="H9:I9"/>
    <mergeCell ref="F7:G7"/>
    <mergeCell ref="H13:I13"/>
    <mergeCell ref="D3:I3"/>
    <mergeCell ref="D4:E4"/>
    <mergeCell ref="D8:E8"/>
    <mergeCell ref="D10:E10"/>
    <mergeCell ref="F10:G10"/>
    <mergeCell ref="H11:I11"/>
    <mergeCell ref="F13:G13"/>
    <mergeCell ref="H5:I5"/>
    <mergeCell ref="H4:I4"/>
    <mergeCell ref="F4:G4"/>
    <mergeCell ref="F5:G5"/>
    <mergeCell ref="F6:G6"/>
    <mergeCell ref="D5:E5"/>
    <mergeCell ref="D6:E6"/>
    <mergeCell ref="H6:I6"/>
  </mergeCells>
  <printOptions horizontalCentered="1"/>
  <pageMargins left="0.59055118110236227" right="0.59055118110236227" top="0.6692913385826772" bottom="0.6692913385826772" header="0.15748031496062992" footer="0.15748031496062992"/>
  <pageSetup paperSize="9" scale="71" orientation="portrait" cellComments="asDisplaye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F37"/>
  <sheetViews>
    <sheetView zoomScaleNormal="100" workbookViewId="0">
      <pane xSplit="2" ySplit="4" topLeftCell="C5" activePane="bottomRight" state="frozen"/>
      <selection activeCell="B151" sqref="B151"/>
      <selection pane="topRight" activeCell="B151" sqref="B151"/>
      <selection pane="bottomLeft" activeCell="B151" sqref="B151"/>
      <selection pane="bottomRight" activeCell="B151" sqref="B151"/>
    </sheetView>
  </sheetViews>
  <sheetFormatPr defaultColWidth="9.140625" defaultRowHeight="12.75" x14ac:dyDescent="0.25"/>
  <cols>
    <col min="1" max="1" width="3.42578125" style="9" customWidth="1"/>
    <col min="2" max="2" width="57.85546875" style="8" customWidth="1"/>
    <col min="3" max="3" width="15" style="8" customWidth="1"/>
    <col min="4" max="5" width="13.28515625" style="8" customWidth="1"/>
    <col min="6" max="6" width="17" style="8" customWidth="1"/>
    <col min="7" max="7" width="0.85546875" style="8" customWidth="1"/>
    <col min="8" max="8" width="1.7109375" style="8" customWidth="1"/>
    <col min="9" max="16384" width="9.140625" style="8"/>
  </cols>
  <sheetData>
    <row r="1" spans="1:6" ht="22.5" x14ac:dyDescent="0.25">
      <c r="A1" s="349" t="s">
        <v>561</v>
      </c>
      <c r="B1" s="140"/>
    </row>
    <row r="2" spans="1:6" ht="23.25" customHeight="1" thickBot="1" x14ac:dyDescent="0.3">
      <c r="D2" s="108"/>
      <c r="F2" s="141" t="s">
        <v>623</v>
      </c>
    </row>
    <row r="3" spans="1:6" ht="51" x14ac:dyDescent="0.25">
      <c r="A3" s="1515" t="s">
        <v>341</v>
      </c>
      <c r="B3" s="1517" t="s">
        <v>365</v>
      </c>
      <c r="C3" s="142" t="s">
        <v>1031</v>
      </c>
      <c r="D3" s="142" t="s">
        <v>1033</v>
      </c>
      <c r="E3" s="142" t="s">
        <v>927</v>
      </c>
      <c r="F3" s="343" t="s">
        <v>1032</v>
      </c>
    </row>
    <row r="4" spans="1:6" ht="12.2" customHeight="1" thickBot="1" x14ac:dyDescent="0.3">
      <c r="A4" s="1516"/>
      <c r="B4" s="1518"/>
      <c r="C4" s="150" t="s">
        <v>405</v>
      </c>
      <c r="D4" s="150" t="s">
        <v>406</v>
      </c>
      <c r="E4" s="150" t="s">
        <v>407</v>
      </c>
      <c r="F4" s="151" t="s">
        <v>408</v>
      </c>
    </row>
    <row r="5" spans="1:6" ht="17.25" customHeight="1" x14ac:dyDescent="0.25">
      <c r="A5" s="342">
        <v>1</v>
      </c>
      <c r="B5" s="344" t="s">
        <v>504</v>
      </c>
      <c r="C5" s="345">
        <f>SUM(C6:C8)</f>
        <v>1181549.9333799998</v>
      </c>
      <c r="D5" s="345">
        <f>SUM(D6:D8)</f>
        <v>145765.56910999998</v>
      </c>
      <c r="E5" s="345">
        <f>SUM(E6:E8)</f>
        <v>70439</v>
      </c>
      <c r="F5" s="360">
        <v>0</v>
      </c>
    </row>
    <row r="6" spans="1:6" ht="12.75" customHeight="1" x14ac:dyDescent="0.25">
      <c r="A6" s="152">
        <v>2</v>
      </c>
      <c r="B6" s="155" t="s">
        <v>366</v>
      </c>
      <c r="C6" s="125">
        <v>63657.288630000003</v>
      </c>
      <c r="D6" s="346">
        <v>0</v>
      </c>
      <c r="E6" s="125">
        <v>63115</v>
      </c>
      <c r="F6" s="361">
        <f>IF(E6=0,"--",C6/E6)</f>
        <v>1.0085920720906283</v>
      </c>
    </row>
    <row r="7" spans="1:6" ht="12.75" customHeight="1" x14ac:dyDescent="0.25">
      <c r="A7" s="152">
        <v>3</v>
      </c>
      <c r="B7" s="154" t="s">
        <v>431</v>
      </c>
      <c r="C7" s="125">
        <v>137606.33486999999</v>
      </c>
      <c r="D7" s="125">
        <v>145765.56910999998</v>
      </c>
      <c r="E7" s="125">
        <v>4293</v>
      </c>
      <c r="F7" s="361">
        <f>IF(E7=0,"--",C7/E7)</f>
        <v>32.053653591893777</v>
      </c>
    </row>
    <row r="8" spans="1:6" ht="12.75" customHeight="1" x14ac:dyDescent="0.25">
      <c r="A8" s="152">
        <f>A7+1</f>
        <v>4</v>
      </c>
      <c r="B8" s="155" t="s">
        <v>1224</v>
      </c>
      <c r="C8" s="125">
        <v>980286.30987999996</v>
      </c>
      <c r="D8" s="346">
        <v>0</v>
      </c>
      <c r="E8" s="125">
        <v>3031</v>
      </c>
      <c r="F8" s="361">
        <f>IF(E8=0,"--",C8/E8)</f>
        <v>323.42009563840315</v>
      </c>
    </row>
    <row r="9" spans="1:6" ht="17.25" customHeight="1" x14ac:dyDescent="0.25">
      <c r="A9" s="1098">
        <f>A8+1</f>
        <v>5</v>
      </c>
      <c r="B9" s="347" t="s">
        <v>905</v>
      </c>
      <c r="C9" s="348">
        <f>SUM(C10:C24)</f>
        <v>177841.36031000002</v>
      </c>
      <c r="D9" s="348">
        <f>SUM(D10:D24)</f>
        <v>0</v>
      </c>
      <c r="E9" s="348">
        <f>SUM(E10:E24)</f>
        <v>27551</v>
      </c>
      <c r="F9" s="362">
        <v>0</v>
      </c>
    </row>
    <row r="10" spans="1:6" ht="12.75" customHeight="1" x14ac:dyDescent="0.25">
      <c r="A10" s="152">
        <f>A9+1</f>
        <v>6</v>
      </c>
      <c r="B10" s="156" t="s">
        <v>433</v>
      </c>
      <c r="C10" s="125">
        <v>149345.67137999999</v>
      </c>
      <c r="D10" s="346">
        <v>0</v>
      </c>
      <c r="E10" s="125">
        <v>17345</v>
      </c>
      <c r="F10" s="361">
        <f t="shared" ref="F10:F24" si="0">IF(E10=0,"--",C10/E10)</f>
        <v>8.6103010308446226</v>
      </c>
    </row>
    <row r="11" spans="1:6" ht="12.75" customHeight="1" x14ac:dyDescent="0.25">
      <c r="A11" s="152">
        <f t="shared" ref="A11:A24" si="1">A10+1</f>
        <v>7</v>
      </c>
      <c r="B11" s="157" t="s">
        <v>432</v>
      </c>
      <c r="C11" s="125">
        <v>7085.9610000000011</v>
      </c>
      <c r="D11" s="346">
        <v>0</v>
      </c>
      <c r="E11" s="125">
        <v>7117</v>
      </c>
      <c r="F11" s="361">
        <f t="shared" si="0"/>
        <v>0.99563875228326559</v>
      </c>
    </row>
    <row r="12" spans="1:6" ht="12.75" customHeight="1" x14ac:dyDescent="0.25">
      <c r="A12" s="152">
        <f t="shared" si="1"/>
        <v>8</v>
      </c>
      <c r="B12" s="158" t="s">
        <v>820</v>
      </c>
      <c r="C12" s="125">
        <v>16093.132819999999</v>
      </c>
      <c r="D12" s="346">
        <v>0</v>
      </c>
      <c r="E12" s="125">
        <v>324</v>
      </c>
      <c r="F12" s="361">
        <f t="shared" si="0"/>
        <v>49.670163024691355</v>
      </c>
    </row>
    <row r="13" spans="1:6" ht="12.75" customHeight="1" x14ac:dyDescent="0.25">
      <c r="A13" s="152">
        <f t="shared" si="1"/>
        <v>9</v>
      </c>
      <c r="B13" s="158" t="s">
        <v>821</v>
      </c>
      <c r="C13" s="125">
        <v>3810.4673000000003</v>
      </c>
      <c r="D13" s="346">
        <v>0</v>
      </c>
      <c r="E13" s="125">
        <v>544</v>
      </c>
      <c r="F13" s="361">
        <f t="shared" si="0"/>
        <v>7.004535477941177</v>
      </c>
    </row>
    <row r="14" spans="1:6" ht="12.75" customHeight="1" x14ac:dyDescent="0.25">
      <c r="A14" s="152">
        <f t="shared" si="1"/>
        <v>10</v>
      </c>
      <c r="B14" s="158" t="s">
        <v>822</v>
      </c>
      <c r="C14" s="125">
        <v>821.48619999999994</v>
      </c>
      <c r="D14" s="346">
        <v>0</v>
      </c>
      <c r="E14" s="125">
        <v>132</v>
      </c>
      <c r="F14" s="361">
        <f t="shared" si="0"/>
        <v>6.2233803030303028</v>
      </c>
    </row>
    <row r="15" spans="1:6" ht="12.75" customHeight="1" x14ac:dyDescent="0.25">
      <c r="A15" s="152">
        <f t="shared" si="1"/>
        <v>11</v>
      </c>
      <c r="B15" s="158" t="s">
        <v>823</v>
      </c>
      <c r="C15" s="125">
        <v>65.674199999999999</v>
      </c>
      <c r="D15" s="346">
        <v>0</v>
      </c>
      <c r="E15" s="125">
        <v>202</v>
      </c>
      <c r="F15" s="361">
        <f t="shared" si="0"/>
        <v>0.32511980198019802</v>
      </c>
    </row>
    <row r="16" spans="1:6" ht="12.75" customHeight="1" x14ac:dyDescent="0.25">
      <c r="A16" s="152">
        <f t="shared" si="1"/>
        <v>12</v>
      </c>
      <c r="B16" s="158" t="s">
        <v>824</v>
      </c>
      <c r="C16" s="125">
        <v>19.761980000000001</v>
      </c>
      <c r="D16" s="346">
        <v>0</v>
      </c>
      <c r="E16" s="125">
        <v>45</v>
      </c>
      <c r="F16" s="361">
        <f t="shared" si="0"/>
        <v>0.43915511111111116</v>
      </c>
    </row>
    <row r="17" spans="1:6" ht="25.5" x14ac:dyDescent="0.25">
      <c r="A17" s="152">
        <f t="shared" si="1"/>
        <v>13</v>
      </c>
      <c r="B17" s="158" t="s">
        <v>904</v>
      </c>
      <c r="C17" s="125">
        <v>0</v>
      </c>
      <c r="D17" s="346">
        <v>0</v>
      </c>
      <c r="E17" s="125">
        <v>0</v>
      </c>
      <c r="F17" s="361" t="str">
        <f t="shared" si="0"/>
        <v>--</v>
      </c>
    </row>
    <row r="18" spans="1:6" ht="42" customHeight="1" x14ac:dyDescent="0.25">
      <c r="A18" s="152">
        <f t="shared" si="1"/>
        <v>14</v>
      </c>
      <c r="B18" s="158" t="s">
        <v>906</v>
      </c>
      <c r="C18" s="125">
        <v>0</v>
      </c>
      <c r="D18" s="346">
        <v>0</v>
      </c>
      <c r="E18" s="125">
        <v>0</v>
      </c>
      <c r="F18" s="361" t="str">
        <f t="shared" si="0"/>
        <v>--</v>
      </c>
    </row>
    <row r="19" spans="1:6" x14ac:dyDescent="0.25">
      <c r="A19" s="152">
        <f t="shared" si="1"/>
        <v>15</v>
      </c>
      <c r="B19" s="158" t="s">
        <v>907</v>
      </c>
      <c r="C19" s="125">
        <v>0.81799999999999995</v>
      </c>
      <c r="D19" s="346">
        <v>0</v>
      </c>
      <c r="E19" s="125">
        <v>9</v>
      </c>
      <c r="F19" s="361">
        <f t="shared" si="0"/>
        <v>9.088888888888888E-2</v>
      </c>
    </row>
    <row r="20" spans="1:6" ht="25.5" x14ac:dyDescent="0.25">
      <c r="A20" s="152">
        <f t="shared" si="1"/>
        <v>16</v>
      </c>
      <c r="B20" s="158" t="s">
        <v>908</v>
      </c>
      <c r="C20" s="125">
        <v>22.44</v>
      </c>
      <c r="D20" s="346">
        <v>0</v>
      </c>
      <c r="E20" s="125">
        <v>28</v>
      </c>
      <c r="F20" s="361">
        <f t="shared" si="0"/>
        <v>0.80142857142857149</v>
      </c>
    </row>
    <row r="21" spans="1:6" x14ac:dyDescent="0.25">
      <c r="A21" s="152">
        <f t="shared" si="1"/>
        <v>17</v>
      </c>
      <c r="B21" s="158" t="s">
        <v>909</v>
      </c>
      <c r="C21" s="125">
        <v>0</v>
      </c>
      <c r="D21" s="346">
        <v>0</v>
      </c>
      <c r="E21" s="125">
        <v>0</v>
      </c>
      <c r="F21" s="361" t="str">
        <f t="shared" si="0"/>
        <v>--</v>
      </c>
    </row>
    <row r="22" spans="1:6" x14ac:dyDescent="0.25">
      <c r="A22" s="152">
        <f t="shared" si="1"/>
        <v>18</v>
      </c>
      <c r="B22" s="158" t="s">
        <v>825</v>
      </c>
      <c r="C22" s="125">
        <v>134.95994999999999</v>
      </c>
      <c r="D22" s="346">
        <v>0</v>
      </c>
      <c r="E22" s="125">
        <v>80</v>
      </c>
      <c r="F22" s="361">
        <f t="shared" si="0"/>
        <v>1.6869993749999999</v>
      </c>
    </row>
    <row r="23" spans="1:6" ht="25.5" x14ac:dyDescent="0.25">
      <c r="A23" s="152">
        <f t="shared" si="1"/>
        <v>19</v>
      </c>
      <c r="B23" s="158" t="s">
        <v>910</v>
      </c>
      <c r="C23" s="125">
        <v>440.98748000000001</v>
      </c>
      <c r="D23" s="346">
        <v>0</v>
      </c>
      <c r="E23" s="125">
        <v>1725</v>
      </c>
      <c r="F23" s="361">
        <f t="shared" si="0"/>
        <v>0.25564491594202898</v>
      </c>
    </row>
    <row r="24" spans="1:6" ht="26.25" thickBot="1" x14ac:dyDescent="0.3">
      <c r="A24" s="152">
        <f t="shared" si="1"/>
        <v>20</v>
      </c>
      <c r="B24" s="158" t="s">
        <v>911</v>
      </c>
      <c r="C24" s="125">
        <v>0</v>
      </c>
      <c r="D24" s="346">
        <v>0</v>
      </c>
      <c r="E24" s="125">
        <v>0</v>
      </c>
      <c r="F24" s="361" t="str">
        <f t="shared" si="0"/>
        <v>--</v>
      </c>
    </row>
    <row r="25" spans="1:6" ht="17.25" customHeight="1" thickBot="1" x14ac:dyDescent="0.3">
      <c r="A25" s="358">
        <f>A24+1</f>
        <v>21</v>
      </c>
      <c r="B25" s="160" t="s">
        <v>926</v>
      </c>
      <c r="C25" s="359">
        <f>C5+C9</f>
        <v>1359391.2936899997</v>
      </c>
      <c r="D25" s="359">
        <f>D5+D9</f>
        <v>145765.56910999998</v>
      </c>
      <c r="E25" s="359">
        <f>E5+E9</f>
        <v>97990</v>
      </c>
      <c r="F25" s="363">
        <v>0</v>
      </c>
    </row>
    <row r="26" spans="1:6" ht="12.75" hidden="1" customHeight="1" x14ac:dyDescent="0.25">
      <c r="B26" s="161" t="s">
        <v>1183</v>
      </c>
      <c r="D26" s="699">
        <f>D25-'11.c'!C5</f>
        <v>-2.8999999922234565E-3</v>
      </c>
      <c r="E26" s="162"/>
    </row>
    <row r="27" spans="1:6" ht="6" customHeight="1" x14ac:dyDescent="0.25">
      <c r="B27" s="161"/>
      <c r="D27" s="699"/>
      <c r="E27" s="162"/>
    </row>
    <row r="28" spans="1:6" ht="12.75" customHeight="1" x14ac:dyDescent="0.25">
      <c r="A28" s="163" t="s">
        <v>467</v>
      </c>
      <c r="B28" s="164"/>
      <c r="C28" s="165"/>
      <c r="D28" s="165"/>
      <c r="E28" s="165"/>
      <c r="F28" s="163"/>
    </row>
    <row r="29" spans="1:6" ht="24.75" customHeight="1" x14ac:dyDescent="0.25">
      <c r="A29" s="1519" t="s">
        <v>1155</v>
      </c>
      <c r="B29" s="1519"/>
      <c r="C29" s="1519"/>
      <c r="D29" s="1519"/>
      <c r="E29" s="1519"/>
      <c r="F29" s="1519"/>
    </row>
    <row r="30" spans="1:6" ht="12.75" customHeight="1" x14ac:dyDescent="0.25">
      <c r="A30" s="163" t="s">
        <v>827</v>
      </c>
      <c r="B30" s="163"/>
      <c r="C30" s="163"/>
      <c r="D30" s="163"/>
      <c r="E30" s="163"/>
      <c r="F30" s="163"/>
    </row>
    <row r="31" spans="1:6" ht="26.25" customHeight="1" x14ac:dyDescent="0.25">
      <c r="A31" s="1519" t="s">
        <v>912</v>
      </c>
      <c r="B31" s="1519"/>
      <c r="C31" s="1519"/>
      <c r="D31" s="1519"/>
      <c r="E31" s="1519"/>
      <c r="F31" s="1519"/>
    </row>
    <row r="32" spans="1:6" ht="15" customHeight="1" x14ac:dyDescent="0.25">
      <c r="A32" s="163" t="s">
        <v>913</v>
      </c>
      <c r="B32" s="166"/>
      <c r="C32" s="166"/>
      <c r="D32" s="166"/>
      <c r="E32" s="166"/>
      <c r="F32" s="166"/>
    </row>
    <row r="33" spans="1:6" ht="40.5" customHeight="1" x14ac:dyDescent="0.25">
      <c r="A33" s="1519" t="s">
        <v>914</v>
      </c>
      <c r="B33" s="1519"/>
      <c r="C33" s="1519"/>
      <c r="D33" s="1519"/>
      <c r="E33" s="1519"/>
      <c r="F33" s="1519"/>
    </row>
    <row r="34" spans="1:6" ht="6" customHeight="1" x14ac:dyDescent="0.25">
      <c r="A34" s="167"/>
      <c r="B34" s="167"/>
      <c r="C34" s="167"/>
      <c r="D34" s="167"/>
      <c r="E34" s="167"/>
      <c r="F34" s="167"/>
    </row>
    <row r="35" spans="1:6" ht="12.75" customHeight="1" x14ac:dyDescent="0.25">
      <c r="A35" s="163" t="s">
        <v>494</v>
      </c>
      <c r="B35" s="166"/>
      <c r="C35" s="166"/>
      <c r="D35" s="166"/>
      <c r="E35" s="166"/>
      <c r="F35" s="166"/>
    </row>
    <row r="36" spans="1:6" x14ac:dyDescent="0.25">
      <c r="A36" s="163" t="s">
        <v>828</v>
      </c>
      <c r="B36" s="168"/>
      <c r="C36" s="163"/>
      <c r="D36" s="163"/>
      <c r="E36" s="163"/>
      <c r="F36" s="163"/>
    </row>
    <row r="37" spans="1:6" x14ac:dyDescent="0.25">
      <c r="A37" s="163"/>
      <c r="D37" s="169"/>
    </row>
  </sheetData>
  <protectedRanges>
    <protectedRange sqref="D28" name="Oblast1"/>
  </protectedRanges>
  <mergeCells count="5">
    <mergeCell ref="A3:A4"/>
    <mergeCell ref="B3:B4"/>
    <mergeCell ref="A29:F29"/>
    <mergeCell ref="A31:F31"/>
    <mergeCell ref="A33:F33"/>
  </mergeCells>
  <printOptions horizontalCentered="1"/>
  <pageMargins left="0" right="0" top="0.59055118110236227" bottom="0.39370078740157483" header="0.51181102362204722" footer="0.51181102362204722"/>
  <pageSetup paperSize="9" scale="89" orientation="landscape" cellComments="asDisplayed"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AA110"/>
  <sheetViews>
    <sheetView topLeftCell="A5" zoomScaleNormal="100" workbookViewId="0">
      <selection activeCell="A5" sqref="A5:A9"/>
    </sheetView>
  </sheetViews>
  <sheetFormatPr defaultColWidth="9.140625" defaultRowHeight="12.75" x14ac:dyDescent="0.25"/>
  <cols>
    <col min="1" max="1" width="3.85546875" style="8" customWidth="1"/>
    <col min="2" max="2" width="6.42578125" style="163" customWidth="1"/>
    <col min="3" max="3" width="9.7109375" style="163" customWidth="1"/>
    <col min="4" max="4" width="13.5703125" style="163" customWidth="1"/>
    <col min="5" max="5" width="12.7109375" style="163" customWidth="1"/>
    <col min="6" max="6" width="12.28515625" style="163" customWidth="1"/>
    <col min="7" max="7" width="12.85546875" style="163" customWidth="1"/>
    <col min="8" max="8" width="10.140625" style="163" customWidth="1"/>
    <col min="9" max="9" width="12.7109375" style="8" customWidth="1"/>
    <col min="10" max="10" width="10" style="8" customWidth="1"/>
    <col min="11" max="11" width="10.28515625" style="8" customWidth="1"/>
    <col min="12" max="12" width="12.5703125" style="8" customWidth="1"/>
    <col min="13" max="13" width="10" style="8" customWidth="1"/>
    <col min="14" max="14" width="9.28515625" style="8" customWidth="1"/>
    <col min="15" max="15" width="10.5703125" style="8" customWidth="1"/>
    <col min="16" max="16" width="9" style="8" customWidth="1"/>
    <col min="17" max="17" width="5.85546875" style="8" customWidth="1"/>
    <col min="18" max="18" width="5.42578125" style="8" customWidth="1"/>
    <col min="19" max="19" width="10.28515625" style="8" customWidth="1"/>
    <col min="20" max="20" width="10" style="8" bestFit="1" customWidth="1"/>
    <col min="21" max="21" width="11.7109375" style="8" bestFit="1" customWidth="1"/>
    <col min="22" max="22" width="10" style="8" bestFit="1" customWidth="1"/>
    <col min="23" max="23" width="12.5703125" style="8" customWidth="1"/>
    <col min="24" max="24" width="11.5703125" style="8" customWidth="1"/>
    <col min="25" max="25" width="12.28515625" style="8" customWidth="1"/>
    <col min="26" max="26" width="9.42578125" style="8" bestFit="1" customWidth="1"/>
    <col min="27" max="27" width="10.85546875" style="8" bestFit="1" customWidth="1"/>
    <col min="28" max="16384" width="9.140625" style="8"/>
  </cols>
  <sheetData>
    <row r="1" spans="1:27" ht="31.5" x14ac:dyDescent="0.25">
      <c r="A1" s="337" t="s">
        <v>829</v>
      </c>
    </row>
    <row r="2" spans="1:27" s="170" customFormat="1" ht="27" customHeight="1" x14ac:dyDescent="0.25"/>
    <row r="3" spans="1:27" s="170" customFormat="1" ht="23.25" x14ac:dyDescent="0.25">
      <c r="A3" s="105" t="s">
        <v>851</v>
      </c>
      <c r="X3" s="339" t="s">
        <v>901</v>
      </c>
    </row>
    <row r="4" spans="1:27" s="170" customFormat="1" ht="5.25" customHeight="1" thickBot="1" x14ac:dyDescent="0.3">
      <c r="P4" s="8"/>
      <c r="X4" s="171"/>
    </row>
    <row r="5" spans="1:27" ht="15" customHeight="1" x14ac:dyDescent="0.25">
      <c r="A5" s="1563" t="s">
        <v>341</v>
      </c>
      <c r="B5" s="1566" t="s">
        <v>368</v>
      </c>
      <c r="C5" s="1567"/>
      <c r="D5" s="1568"/>
      <c r="E5" s="1575" t="s">
        <v>466</v>
      </c>
      <c r="F5" s="1576"/>
      <c r="G5" s="1576"/>
      <c r="H5" s="1576"/>
      <c r="I5" s="1576"/>
      <c r="J5" s="1576"/>
      <c r="K5" s="1576"/>
      <c r="L5" s="1576"/>
      <c r="M5" s="1576"/>
      <c r="N5" s="1576"/>
      <c r="O5" s="1576"/>
      <c r="P5" s="1576"/>
      <c r="Q5" s="1576"/>
      <c r="R5" s="1576"/>
      <c r="S5" s="1576"/>
      <c r="T5" s="1576"/>
      <c r="U5" s="1576"/>
      <c r="V5" s="1576"/>
      <c r="W5" s="1576"/>
      <c r="X5" s="1577"/>
      <c r="Y5" s="170"/>
    </row>
    <row r="6" spans="1:27" ht="19.5" customHeight="1" x14ac:dyDescent="0.25">
      <c r="A6" s="1564"/>
      <c r="B6" s="1569"/>
      <c r="C6" s="1570"/>
      <c r="D6" s="1571"/>
      <c r="E6" s="1578" t="s">
        <v>456</v>
      </c>
      <c r="F6" s="1579"/>
      <c r="G6" s="1579"/>
      <c r="H6" s="1580"/>
      <c r="I6" s="1578" t="s">
        <v>460</v>
      </c>
      <c r="J6" s="1579"/>
      <c r="K6" s="1579"/>
      <c r="L6" s="1580"/>
      <c r="M6" s="1578" t="s">
        <v>452</v>
      </c>
      <c r="N6" s="1579"/>
      <c r="O6" s="1579"/>
      <c r="P6" s="1580"/>
      <c r="Q6" s="1581" t="s">
        <v>450</v>
      </c>
      <c r="R6" s="1582"/>
      <c r="S6" s="1581" t="s">
        <v>361</v>
      </c>
      <c r="T6" s="1582"/>
      <c r="U6" s="1581" t="s">
        <v>453</v>
      </c>
      <c r="V6" s="1582"/>
      <c r="W6" s="1590" t="s">
        <v>449</v>
      </c>
      <c r="X6" s="1591"/>
      <c r="Y6" s="170"/>
    </row>
    <row r="7" spans="1:27" ht="19.5" customHeight="1" x14ac:dyDescent="0.25">
      <c r="A7" s="1564"/>
      <c r="B7" s="1569"/>
      <c r="C7" s="1570"/>
      <c r="D7" s="1571"/>
      <c r="E7" s="1551" t="s">
        <v>451</v>
      </c>
      <c r="F7" s="1552"/>
      <c r="G7" s="1553" t="s">
        <v>459</v>
      </c>
      <c r="H7" s="1554"/>
      <c r="I7" s="1551" t="s">
        <v>830</v>
      </c>
      <c r="J7" s="1552"/>
      <c r="K7" s="1553" t="s">
        <v>461</v>
      </c>
      <c r="L7" s="1554"/>
      <c r="M7" s="1551" t="s">
        <v>898</v>
      </c>
      <c r="N7" s="1552"/>
      <c r="O7" s="1553" t="s">
        <v>462</v>
      </c>
      <c r="P7" s="1554"/>
      <c r="Q7" s="1578"/>
      <c r="R7" s="1580"/>
      <c r="S7" s="1578"/>
      <c r="T7" s="1580"/>
      <c r="U7" s="1578"/>
      <c r="V7" s="1580"/>
      <c r="W7" s="1592"/>
      <c r="X7" s="1593"/>
      <c r="Y7" s="170"/>
    </row>
    <row r="8" spans="1:27" s="9" customFormat="1" ht="18.75" customHeight="1" x14ac:dyDescent="0.25">
      <c r="A8" s="1564"/>
      <c r="B8" s="1569"/>
      <c r="C8" s="1570"/>
      <c r="D8" s="1571"/>
      <c r="E8" s="196" t="s">
        <v>367</v>
      </c>
      <c r="F8" s="172" t="s">
        <v>549</v>
      </c>
      <c r="G8" s="197" t="s">
        <v>367</v>
      </c>
      <c r="H8" s="198" t="s">
        <v>549</v>
      </c>
      <c r="I8" s="196" t="s">
        <v>367</v>
      </c>
      <c r="J8" s="197" t="s">
        <v>549</v>
      </c>
      <c r="K8" s="197" t="s">
        <v>367</v>
      </c>
      <c r="L8" s="198" t="s">
        <v>549</v>
      </c>
      <c r="M8" s="196" t="s">
        <v>367</v>
      </c>
      <c r="N8" s="197" t="s">
        <v>549</v>
      </c>
      <c r="O8" s="197" t="s">
        <v>367</v>
      </c>
      <c r="P8" s="198" t="s">
        <v>549</v>
      </c>
      <c r="Q8" s="196" t="s">
        <v>367</v>
      </c>
      <c r="R8" s="198" t="s">
        <v>549</v>
      </c>
      <c r="S8" s="196" t="s">
        <v>367</v>
      </c>
      <c r="T8" s="198" t="s">
        <v>549</v>
      </c>
      <c r="U8" s="196" t="s">
        <v>367</v>
      </c>
      <c r="V8" s="198" t="s">
        <v>549</v>
      </c>
      <c r="W8" s="1222" t="s">
        <v>1268</v>
      </c>
      <c r="X8" s="1223" t="s">
        <v>549</v>
      </c>
      <c r="Y8" s="177"/>
    </row>
    <row r="9" spans="1:27" s="9" customFormat="1" ht="18.75" customHeight="1" thickBot="1" x14ac:dyDescent="0.3">
      <c r="A9" s="1565"/>
      <c r="B9" s="1572"/>
      <c r="C9" s="1573"/>
      <c r="D9" s="1574"/>
      <c r="E9" s="350">
        <v>1</v>
      </c>
      <c r="F9" s="351">
        <f>E9+1</f>
        <v>2</v>
      </c>
      <c r="G9" s="150">
        <f t="shared" ref="G9:X9" si="0">F9+1</f>
        <v>3</v>
      </c>
      <c r="H9" s="151">
        <f t="shared" si="0"/>
        <v>4</v>
      </c>
      <c r="I9" s="351">
        <f t="shared" si="0"/>
        <v>5</v>
      </c>
      <c r="J9" s="150">
        <f t="shared" si="0"/>
        <v>6</v>
      </c>
      <c r="K9" s="150">
        <f t="shared" si="0"/>
        <v>7</v>
      </c>
      <c r="L9" s="352">
        <f t="shared" si="0"/>
        <v>8</v>
      </c>
      <c r="M9" s="350">
        <f t="shared" si="0"/>
        <v>9</v>
      </c>
      <c r="N9" s="150">
        <f t="shared" si="0"/>
        <v>10</v>
      </c>
      <c r="O9" s="150">
        <f t="shared" si="0"/>
        <v>11</v>
      </c>
      <c r="P9" s="151">
        <f t="shared" si="0"/>
        <v>12</v>
      </c>
      <c r="Q9" s="350">
        <f t="shared" si="0"/>
        <v>13</v>
      </c>
      <c r="R9" s="151">
        <f t="shared" si="0"/>
        <v>14</v>
      </c>
      <c r="S9" s="351">
        <f t="shared" si="0"/>
        <v>15</v>
      </c>
      <c r="T9" s="352">
        <f t="shared" si="0"/>
        <v>16</v>
      </c>
      <c r="U9" s="350">
        <f t="shared" si="0"/>
        <v>17</v>
      </c>
      <c r="V9" s="151">
        <f t="shared" si="0"/>
        <v>18</v>
      </c>
      <c r="W9" s="350">
        <f t="shared" si="0"/>
        <v>19</v>
      </c>
      <c r="X9" s="151">
        <f t="shared" si="0"/>
        <v>20</v>
      </c>
      <c r="Y9" s="177"/>
    </row>
    <row r="10" spans="1:27" ht="15" customHeight="1" x14ac:dyDescent="0.25">
      <c r="A10" s="702">
        <v>1</v>
      </c>
      <c r="B10" s="1529" t="s">
        <v>458</v>
      </c>
      <c r="C10" s="1556" t="s">
        <v>448</v>
      </c>
      <c r="D10" s="1557"/>
      <c r="E10" s="675">
        <v>1923576.0109999999</v>
      </c>
      <c r="F10" s="676">
        <v>37902.364000000001</v>
      </c>
      <c r="G10" s="676">
        <v>833119.701</v>
      </c>
      <c r="H10" s="677">
        <v>6495.0029999999997</v>
      </c>
      <c r="I10" s="675">
        <v>274773.73700000002</v>
      </c>
      <c r="J10" s="676">
        <v>8378.866</v>
      </c>
      <c r="K10" s="676">
        <v>17992.952999999998</v>
      </c>
      <c r="L10" s="678">
        <v>609.30399999999997</v>
      </c>
      <c r="M10" s="679">
        <v>5590.3140000000003</v>
      </c>
      <c r="N10" s="676">
        <v>1089.277</v>
      </c>
      <c r="O10" s="676">
        <v>19819.623</v>
      </c>
      <c r="P10" s="677">
        <v>604.11500000000001</v>
      </c>
      <c r="Q10" s="679">
        <v>0</v>
      </c>
      <c r="R10" s="677">
        <v>0</v>
      </c>
      <c r="S10" s="675">
        <v>16758.186999999998</v>
      </c>
      <c r="T10" s="678">
        <v>620.4670000000001</v>
      </c>
      <c r="U10" s="679">
        <v>375060.92050563358</v>
      </c>
      <c r="V10" s="677">
        <v>13722.498664676186</v>
      </c>
      <c r="W10" s="1216">
        <f>E10+G10+I10+K10+M10+O10+Q10+S10+U10</f>
        <v>3466691.4465056336</v>
      </c>
      <c r="X10" s="1217">
        <f t="shared" ref="W10:X14" si="1">F10+H10+J10+L10+N10+P10+R10+T10+V10</f>
        <v>69421.894664676176</v>
      </c>
      <c r="Y10" s="497"/>
      <c r="Z10" s="498"/>
    </row>
    <row r="11" spans="1:27" ht="15" customHeight="1" x14ac:dyDescent="0.25">
      <c r="A11" s="702">
        <v>2</v>
      </c>
      <c r="B11" s="1555"/>
      <c r="C11" s="1558" t="s">
        <v>370</v>
      </c>
      <c r="D11" s="1559"/>
      <c r="E11" s="680">
        <v>109852.42800000001</v>
      </c>
      <c r="F11" s="681">
        <v>11679.243999999999</v>
      </c>
      <c r="G11" s="681">
        <v>186096.24299999996</v>
      </c>
      <c r="H11" s="682">
        <v>8817.3669999999984</v>
      </c>
      <c r="I11" s="680">
        <v>319396.63700000005</v>
      </c>
      <c r="J11" s="681">
        <v>20457.621000000003</v>
      </c>
      <c r="K11" s="681">
        <v>18803.089</v>
      </c>
      <c r="L11" s="683">
        <v>1421.229</v>
      </c>
      <c r="M11" s="684">
        <v>6586.0569999999998</v>
      </c>
      <c r="N11" s="681">
        <v>1166.6679999999999</v>
      </c>
      <c r="O11" s="681">
        <v>39221.794000000002</v>
      </c>
      <c r="P11" s="682">
        <v>752.94399999999996</v>
      </c>
      <c r="Q11" s="684">
        <v>0</v>
      </c>
      <c r="R11" s="682">
        <v>0</v>
      </c>
      <c r="S11" s="680">
        <v>3364.241</v>
      </c>
      <c r="T11" s="683">
        <v>477.64800000000002</v>
      </c>
      <c r="U11" s="684">
        <v>44248.460827630122</v>
      </c>
      <c r="V11" s="682">
        <v>3558.9867531985128</v>
      </c>
      <c r="W11" s="1218">
        <f t="shared" si="1"/>
        <v>727568.94982763019</v>
      </c>
      <c r="X11" s="1219">
        <f t="shared" si="1"/>
        <v>48331.70775319852</v>
      </c>
      <c r="Y11" s="497"/>
      <c r="Z11" s="498"/>
      <c r="AA11" s="496"/>
    </row>
    <row r="12" spans="1:27" ht="15" customHeight="1" x14ac:dyDescent="0.25">
      <c r="A12" s="703">
        <v>3</v>
      </c>
      <c r="B12" s="1555"/>
      <c r="C12" s="1560" t="s">
        <v>345</v>
      </c>
      <c r="D12" s="1561"/>
      <c r="E12" s="680">
        <v>1209979.4539999999</v>
      </c>
      <c r="F12" s="681">
        <v>75877.026999999987</v>
      </c>
      <c r="G12" s="681">
        <v>284617.45199999999</v>
      </c>
      <c r="H12" s="682">
        <v>20269.177</v>
      </c>
      <c r="I12" s="680">
        <v>87616.06299999998</v>
      </c>
      <c r="J12" s="681">
        <v>24633.416999999998</v>
      </c>
      <c r="K12" s="681">
        <v>7866.3709999999992</v>
      </c>
      <c r="L12" s="683">
        <v>747.6099999999999</v>
      </c>
      <c r="M12" s="684">
        <v>12451.11</v>
      </c>
      <c r="N12" s="681">
        <v>2082.1929999999998</v>
      </c>
      <c r="O12" s="681">
        <v>22215.625</v>
      </c>
      <c r="P12" s="682">
        <v>1304.4450000000002</v>
      </c>
      <c r="Q12" s="684">
        <v>0</v>
      </c>
      <c r="R12" s="682">
        <v>0</v>
      </c>
      <c r="S12" s="680">
        <v>39670.945</v>
      </c>
      <c r="T12" s="683">
        <v>12808.947999999999</v>
      </c>
      <c r="U12" s="684">
        <v>270850.65266673616</v>
      </c>
      <c r="V12" s="682">
        <v>42511.461582125296</v>
      </c>
      <c r="W12" s="1218">
        <f t="shared" si="1"/>
        <v>1935267.6726667364</v>
      </c>
      <c r="X12" s="1219">
        <f t="shared" si="1"/>
        <v>180234.27858212526</v>
      </c>
      <c r="Y12" s="497"/>
      <c r="Z12" s="499"/>
    </row>
    <row r="13" spans="1:27" ht="15" customHeight="1" x14ac:dyDescent="0.25">
      <c r="A13" s="703">
        <v>4</v>
      </c>
      <c r="B13" s="1535" t="s">
        <v>369</v>
      </c>
      <c r="C13" s="1536"/>
      <c r="D13" s="1537"/>
      <c r="E13" s="680">
        <v>158042.283</v>
      </c>
      <c r="F13" s="681">
        <v>3625.5120000000002</v>
      </c>
      <c r="G13" s="681">
        <v>0</v>
      </c>
      <c r="H13" s="682">
        <v>0</v>
      </c>
      <c r="I13" s="680">
        <v>0</v>
      </c>
      <c r="J13" s="681">
        <v>0</v>
      </c>
      <c r="K13" s="681">
        <v>0</v>
      </c>
      <c r="L13" s="683">
        <v>0</v>
      </c>
      <c r="M13" s="684">
        <v>0</v>
      </c>
      <c r="N13" s="681">
        <v>0</v>
      </c>
      <c r="O13" s="681">
        <v>0</v>
      </c>
      <c r="P13" s="682">
        <v>0</v>
      </c>
      <c r="Q13" s="684">
        <v>0</v>
      </c>
      <c r="R13" s="682">
        <v>0</v>
      </c>
      <c r="S13" s="680">
        <v>31448.792000000001</v>
      </c>
      <c r="T13" s="683">
        <v>1417.2860000000001</v>
      </c>
      <c r="U13" s="684">
        <v>0</v>
      </c>
      <c r="V13" s="682">
        <v>0</v>
      </c>
      <c r="W13" s="1218">
        <f t="shared" si="1"/>
        <v>189491.07500000001</v>
      </c>
      <c r="X13" s="1219">
        <f t="shared" si="1"/>
        <v>5042.7980000000007</v>
      </c>
      <c r="Y13" s="497"/>
      <c r="Z13" s="499"/>
    </row>
    <row r="14" spans="1:27" ht="15" customHeight="1" thickBot="1" x14ac:dyDescent="0.3">
      <c r="A14" s="704">
        <v>5</v>
      </c>
      <c r="B14" s="1538" t="s">
        <v>457</v>
      </c>
      <c r="C14" s="1539"/>
      <c r="D14" s="1540"/>
      <c r="E14" s="680">
        <v>0</v>
      </c>
      <c r="F14" s="685">
        <v>0</v>
      </c>
      <c r="G14" s="685">
        <v>0</v>
      </c>
      <c r="H14" s="686">
        <v>0</v>
      </c>
      <c r="I14" s="687">
        <v>0</v>
      </c>
      <c r="J14" s="688">
        <v>0</v>
      </c>
      <c r="K14" s="688">
        <v>0</v>
      </c>
      <c r="L14" s="689">
        <v>0</v>
      </c>
      <c r="M14" s="690">
        <v>0</v>
      </c>
      <c r="N14" s="685">
        <v>0</v>
      </c>
      <c r="O14" s="685">
        <v>0</v>
      </c>
      <c r="P14" s="686">
        <v>0</v>
      </c>
      <c r="Q14" s="690">
        <v>0</v>
      </c>
      <c r="R14" s="686">
        <v>0</v>
      </c>
      <c r="S14" s="687">
        <v>0</v>
      </c>
      <c r="T14" s="689">
        <v>0</v>
      </c>
      <c r="U14" s="690">
        <v>0</v>
      </c>
      <c r="V14" s="686">
        <v>0</v>
      </c>
      <c r="W14" s="1220">
        <f t="shared" si="1"/>
        <v>0</v>
      </c>
      <c r="X14" s="1221">
        <f t="shared" si="1"/>
        <v>0</v>
      </c>
      <c r="Y14" s="497"/>
      <c r="Z14" s="499"/>
    </row>
    <row r="15" spans="1:27" s="191" customFormat="1" ht="15" customHeight="1" thickBot="1" x14ac:dyDescent="0.3">
      <c r="A15" s="181">
        <v>6</v>
      </c>
      <c r="B15" s="1541" t="s">
        <v>449</v>
      </c>
      <c r="C15" s="1542"/>
      <c r="D15" s="1543"/>
      <c r="E15" s="1172">
        <f t="shared" ref="E15:X15" si="2">SUM(E10:E14)</f>
        <v>3401450.176</v>
      </c>
      <c r="F15" s="1173">
        <f t="shared" si="2"/>
        <v>129084.14699999998</v>
      </c>
      <c r="G15" s="1174">
        <f t="shared" si="2"/>
        <v>1303833.3959999999</v>
      </c>
      <c r="H15" s="1175">
        <f t="shared" si="2"/>
        <v>35581.546999999999</v>
      </c>
      <c r="I15" s="1172">
        <f t="shared" si="2"/>
        <v>681786.43700000003</v>
      </c>
      <c r="J15" s="1174">
        <f t="shared" si="2"/>
        <v>53469.903999999995</v>
      </c>
      <c r="K15" s="1174">
        <f t="shared" si="2"/>
        <v>44662.413</v>
      </c>
      <c r="L15" s="1175">
        <f t="shared" si="2"/>
        <v>2778.143</v>
      </c>
      <c r="M15" s="1172">
        <f t="shared" si="2"/>
        <v>24627.481</v>
      </c>
      <c r="N15" s="1174">
        <f t="shared" si="2"/>
        <v>4338.137999999999</v>
      </c>
      <c r="O15" s="1174">
        <f t="shared" si="2"/>
        <v>81257.042000000001</v>
      </c>
      <c r="P15" s="1175">
        <f t="shared" si="2"/>
        <v>2661.5039999999999</v>
      </c>
      <c r="Q15" s="1176">
        <f t="shared" si="2"/>
        <v>0</v>
      </c>
      <c r="R15" s="1177">
        <f t="shared" si="2"/>
        <v>0</v>
      </c>
      <c r="S15" s="1176">
        <f t="shared" si="2"/>
        <v>91242.165000000008</v>
      </c>
      <c r="T15" s="1177">
        <f t="shared" si="2"/>
        <v>15324.348999999998</v>
      </c>
      <c r="U15" s="1178">
        <f t="shared" si="2"/>
        <v>690160.03399999987</v>
      </c>
      <c r="V15" s="1179">
        <f t="shared" si="2"/>
        <v>59792.946999999993</v>
      </c>
      <c r="W15" s="1172">
        <f t="shared" si="2"/>
        <v>6319019.1440000003</v>
      </c>
      <c r="X15" s="1177">
        <f t="shared" si="2"/>
        <v>303030.67899999995</v>
      </c>
      <c r="Y15" s="500"/>
      <c r="Z15" s="498"/>
      <c r="AA15" s="501"/>
    </row>
    <row r="16" spans="1:27" s="170" customFormat="1" ht="42" customHeight="1" x14ac:dyDescent="0.25">
      <c r="E16" s="192"/>
      <c r="F16" s="192"/>
      <c r="G16" s="192"/>
      <c r="H16" s="192"/>
      <c r="I16" s="192"/>
      <c r="J16" s="192"/>
      <c r="K16" s="192"/>
      <c r="L16" s="192"/>
      <c r="M16" s="192"/>
      <c r="N16" s="192"/>
      <c r="O16" s="192"/>
      <c r="P16" s="192"/>
      <c r="Q16" s="192"/>
      <c r="R16" s="192"/>
      <c r="S16" s="192"/>
      <c r="T16" s="192"/>
      <c r="U16" s="192"/>
      <c r="V16" s="192"/>
      <c r="W16" s="192"/>
      <c r="X16" s="192"/>
    </row>
    <row r="17" spans="1:25" ht="23.25" x14ac:dyDescent="0.25">
      <c r="A17" s="105" t="s">
        <v>852</v>
      </c>
      <c r="B17" s="193"/>
      <c r="C17" s="193"/>
      <c r="D17" s="193"/>
      <c r="E17" s="193"/>
      <c r="F17" s="193"/>
      <c r="G17" s="193"/>
      <c r="H17" s="193"/>
      <c r="I17" s="193"/>
      <c r="J17" s="193"/>
      <c r="K17" s="1165"/>
      <c r="L17" s="1165"/>
      <c r="M17" s="339" t="s">
        <v>901</v>
      </c>
      <c r="N17" s="193"/>
      <c r="O17" s="1165"/>
      <c r="P17" s="1165"/>
      <c r="Q17" s="193"/>
      <c r="R17" s="193"/>
      <c r="S17" s="193"/>
    </row>
    <row r="18" spans="1:25" ht="5.25" customHeight="1" thickBot="1" x14ac:dyDescent="0.3">
      <c r="A18" s="195"/>
      <c r="B18" s="193"/>
      <c r="C18" s="193"/>
      <c r="D18" s="193"/>
      <c r="E18" s="193"/>
      <c r="F18" s="193"/>
      <c r="G18" s="193"/>
      <c r="H18" s="193"/>
      <c r="I18" s="193"/>
      <c r="J18" s="193"/>
      <c r="K18" s="193"/>
      <c r="L18" s="193"/>
      <c r="M18" s="194"/>
      <c r="N18" s="170"/>
      <c r="O18" s="170"/>
      <c r="P18" s="170"/>
      <c r="Q18" s="170"/>
      <c r="R18" s="170"/>
      <c r="S18" s="170"/>
      <c r="T18" s="170"/>
    </row>
    <row r="19" spans="1:25" ht="15" x14ac:dyDescent="0.25">
      <c r="A19" s="1544" t="s">
        <v>341</v>
      </c>
      <c r="B19" s="1547" t="s">
        <v>368</v>
      </c>
      <c r="C19" s="1547"/>
      <c r="D19" s="1547"/>
      <c r="E19" s="1550" t="s">
        <v>463</v>
      </c>
      <c r="F19" s="1526"/>
      <c r="G19" s="1527"/>
      <c r="H19" s="1523" t="s">
        <v>465</v>
      </c>
      <c r="I19" s="1524"/>
      <c r="J19" s="1525"/>
      <c r="K19" s="1588" t="s">
        <v>449</v>
      </c>
      <c r="L19" s="1588"/>
      <c r="M19" s="1589"/>
      <c r="N19" s="170"/>
      <c r="O19" s="1458" t="s">
        <v>832</v>
      </c>
      <c r="P19" s="1458"/>
      <c r="Q19" s="1458"/>
      <c r="R19" s="1458"/>
      <c r="S19" s="1458"/>
      <c r="T19" s="1458"/>
      <c r="U19" s="1458"/>
      <c r="V19" s="1458"/>
      <c r="W19" s="1458"/>
      <c r="X19" s="1458"/>
    </row>
    <row r="20" spans="1:25" ht="38.25" x14ac:dyDescent="0.25">
      <c r="A20" s="1545"/>
      <c r="B20" s="1548"/>
      <c r="C20" s="1548"/>
      <c r="D20" s="1548"/>
      <c r="E20" s="196" t="s">
        <v>833</v>
      </c>
      <c r="F20" s="197" t="s">
        <v>464</v>
      </c>
      <c r="G20" s="198" t="s">
        <v>455</v>
      </c>
      <c r="H20" s="196" t="s">
        <v>454</v>
      </c>
      <c r="I20" s="197" t="s">
        <v>464</v>
      </c>
      <c r="J20" s="198" t="s">
        <v>455</v>
      </c>
      <c r="K20" s="1224" t="s">
        <v>454</v>
      </c>
      <c r="L20" s="848" t="s">
        <v>464</v>
      </c>
      <c r="M20" s="1223" t="s">
        <v>455</v>
      </c>
      <c r="N20" s="170"/>
      <c r="O20" s="1458"/>
      <c r="P20" s="1458"/>
      <c r="Q20" s="1458"/>
      <c r="R20" s="1458"/>
      <c r="S20" s="1458"/>
      <c r="T20" s="1458"/>
      <c r="U20" s="1458"/>
      <c r="V20" s="1458"/>
      <c r="W20" s="1458"/>
      <c r="X20" s="1458"/>
      <c r="Y20" s="170"/>
    </row>
    <row r="21" spans="1:25" s="9" customFormat="1" ht="25.7" customHeight="1" thickBot="1" x14ac:dyDescent="0.3">
      <c r="A21" s="1546"/>
      <c r="B21" s="1549"/>
      <c r="C21" s="1549"/>
      <c r="D21" s="1549"/>
      <c r="E21" s="173">
        <v>1</v>
      </c>
      <c r="F21" s="175">
        <v>2</v>
      </c>
      <c r="G21" s="176" t="s">
        <v>579</v>
      </c>
      <c r="H21" s="173">
        <v>4</v>
      </c>
      <c r="I21" s="175">
        <v>5</v>
      </c>
      <c r="J21" s="176">
        <v>6</v>
      </c>
      <c r="K21" s="174">
        <v>7</v>
      </c>
      <c r="L21" s="199">
        <v>8</v>
      </c>
      <c r="M21" s="176" t="s">
        <v>580</v>
      </c>
      <c r="N21" s="177"/>
      <c r="O21" s="170"/>
      <c r="P21" s="170"/>
      <c r="Q21" s="170"/>
      <c r="R21" s="170"/>
      <c r="S21" s="177"/>
      <c r="T21" s="177"/>
      <c r="U21" s="177"/>
      <c r="V21" s="177"/>
      <c r="W21" s="177"/>
      <c r="X21" s="177"/>
      <c r="Y21" s="177"/>
    </row>
    <row r="22" spans="1:25" ht="13.5" customHeight="1" x14ac:dyDescent="0.25">
      <c r="A22" s="200">
        <v>1</v>
      </c>
      <c r="B22" s="1515" t="s">
        <v>458</v>
      </c>
      <c r="C22" s="1530" t="s">
        <v>834</v>
      </c>
      <c r="D22" s="201" t="s">
        <v>443</v>
      </c>
      <c r="E22" s="691">
        <v>473.78500000000014</v>
      </c>
      <c r="F22" s="692">
        <v>601618.41100000008</v>
      </c>
      <c r="G22" s="502">
        <f t="shared" ref="G22:G32" si="3">IF(E22=0,0,F22/12/E22)</f>
        <v>105.81776034136439</v>
      </c>
      <c r="H22" s="693">
        <v>120.44700000000002</v>
      </c>
      <c r="I22" s="694">
        <v>151500.82699999999</v>
      </c>
      <c r="J22" s="515" t="s">
        <v>835</v>
      </c>
      <c r="K22" s="516">
        <f t="shared" ref="K22:L27" si="4">E22+H22</f>
        <v>594.2320000000002</v>
      </c>
      <c r="L22" s="516">
        <f t="shared" si="4"/>
        <v>753119.23800000013</v>
      </c>
      <c r="M22" s="202">
        <f t="shared" ref="M22:M33" si="5">IF(K22=0,0,L22/12/K22)</f>
        <v>105.61520836979494</v>
      </c>
      <c r="N22" s="1167"/>
      <c r="O22" s="1168"/>
      <c r="P22" s="192"/>
      <c r="Q22" s="192"/>
      <c r="R22" s="170"/>
      <c r="S22" s="170"/>
      <c r="T22" s="170"/>
      <c r="U22" s="170"/>
      <c r="V22" s="170"/>
      <c r="W22" s="170"/>
      <c r="X22" s="170"/>
      <c r="Y22" s="170"/>
    </row>
    <row r="23" spans="1:25" ht="13.5" customHeight="1" x14ac:dyDescent="0.25">
      <c r="A23" s="200">
        <v>2</v>
      </c>
      <c r="B23" s="1528"/>
      <c r="C23" s="1530"/>
      <c r="D23" s="201" t="s">
        <v>444</v>
      </c>
      <c r="E23" s="691">
        <v>685.5379999999999</v>
      </c>
      <c r="F23" s="692">
        <v>684421.11099999992</v>
      </c>
      <c r="G23" s="502">
        <f t="shared" si="3"/>
        <v>83.197565391463826</v>
      </c>
      <c r="H23" s="695">
        <v>155.839</v>
      </c>
      <c r="I23" s="681">
        <v>150571.36199999999</v>
      </c>
      <c r="J23" s="515" t="s">
        <v>835</v>
      </c>
      <c r="K23" s="516">
        <f t="shared" si="4"/>
        <v>841.37699999999995</v>
      </c>
      <c r="L23" s="516">
        <f t="shared" si="4"/>
        <v>834992.47299999988</v>
      </c>
      <c r="M23" s="202">
        <f t="shared" si="5"/>
        <v>82.700984318959669</v>
      </c>
      <c r="N23" s="1168"/>
      <c r="O23" s="1168"/>
      <c r="P23" s="192"/>
      <c r="Q23" s="192"/>
      <c r="R23" s="170"/>
      <c r="S23" s="170"/>
      <c r="T23" s="170"/>
      <c r="U23" s="170"/>
      <c r="V23" s="170"/>
      <c r="W23" s="170"/>
      <c r="X23" s="170"/>
      <c r="Y23" s="170"/>
    </row>
    <row r="24" spans="1:25" ht="14.25" customHeight="1" x14ac:dyDescent="0.25">
      <c r="A24" s="203">
        <v>3</v>
      </c>
      <c r="B24" s="1528"/>
      <c r="C24" s="1530"/>
      <c r="D24" s="204" t="s">
        <v>445</v>
      </c>
      <c r="E24" s="696">
        <v>1347.3679999999999</v>
      </c>
      <c r="F24" s="697">
        <v>963712.87400000007</v>
      </c>
      <c r="G24" s="503">
        <f t="shared" si="3"/>
        <v>59.604656015777927</v>
      </c>
      <c r="H24" s="695">
        <v>267.24299999999994</v>
      </c>
      <c r="I24" s="681">
        <v>261767.60800000001</v>
      </c>
      <c r="J24" s="518" t="s">
        <v>835</v>
      </c>
      <c r="K24" s="516">
        <f t="shared" si="4"/>
        <v>1614.6109999999999</v>
      </c>
      <c r="L24" s="516">
        <f t="shared" si="4"/>
        <v>1225480.4820000001</v>
      </c>
      <c r="M24" s="205">
        <f t="shared" si="5"/>
        <v>63.249521711421515</v>
      </c>
      <c r="N24" s="1168"/>
      <c r="O24" s="1168"/>
      <c r="P24" s="192"/>
      <c r="Q24" s="192"/>
      <c r="R24" s="170"/>
      <c r="S24" s="170"/>
      <c r="T24" s="170"/>
      <c r="U24" s="170"/>
      <c r="V24" s="170"/>
      <c r="W24" s="170"/>
      <c r="X24" s="170"/>
      <c r="Y24" s="170"/>
    </row>
    <row r="25" spans="1:25" ht="15" customHeight="1" x14ac:dyDescent="0.25">
      <c r="A25" s="203">
        <v>4</v>
      </c>
      <c r="B25" s="1528"/>
      <c r="C25" s="1530"/>
      <c r="D25" s="204" t="s">
        <v>446</v>
      </c>
      <c r="E25" s="696">
        <v>346.90499999999992</v>
      </c>
      <c r="F25" s="697">
        <v>204885.51299999992</v>
      </c>
      <c r="G25" s="503">
        <f t="shared" si="3"/>
        <v>49.217488217235257</v>
      </c>
      <c r="H25" s="695">
        <v>106.77199999999999</v>
      </c>
      <c r="I25" s="681">
        <v>83098.913</v>
      </c>
      <c r="J25" s="518" t="s">
        <v>835</v>
      </c>
      <c r="K25" s="516">
        <f t="shared" si="4"/>
        <v>453.67699999999991</v>
      </c>
      <c r="L25" s="516">
        <f t="shared" si="4"/>
        <v>287984.42599999992</v>
      </c>
      <c r="M25" s="205">
        <f t="shared" si="5"/>
        <v>52.898212090687124</v>
      </c>
      <c r="N25" s="1168"/>
      <c r="O25" s="1168"/>
      <c r="P25" s="192"/>
      <c r="Q25" s="192"/>
      <c r="R25" s="170"/>
      <c r="S25" s="170"/>
      <c r="T25" s="170"/>
      <c r="U25" s="170"/>
      <c r="V25" s="170"/>
      <c r="W25" s="170"/>
      <c r="X25" s="170"/>
      <c r="Y25" s="170"/>
    </row>
    <row r="26" spans="1:25" ht="15" customHeight="1" x14ac:dyDescent="0.25">
      <c r="A26" s="203">
        <v>5</v>
      </c>
      <c r="B26" s="1528"/>
      <c r="C26" s="1530"/>
      <c r="D26" s="204" t="s">
        <v>447</v>
      </c>
      <c r="E26" s="696">
        <v>394.09299999999996</v>
      </c>
      <c r="F26" s="697">
        <v>224205.12500000003</v>
      </c>
      <c r="G26" s="503">
        <f t="shared" si="3"/>
        <v>47.40952114517809</v>
      </c>
      <c r="H26" s="695">
        <v>58.569999999999993</v>
      </c>
      <c r="I26" s="681">
        <v>52116.619999999995</v>
      </c>
      <c r="J26" s="518" t="s">
        <v>835</v>
      </c>
      <c r="K26" s="516">
        <f t="shared" si="4"/>
        <v>452.66299999999995</v>
      </c>
      <c r="L26" s="516">
        <f t="shared" si="4"/>
        <v>276321.745</v>
      </c>
      <c r="M26" s="205">
        <f t="shared" si="5"/>
        <v>50.869658185743781</v>
      </c>
      <c r="N26" s="1168"/>
      <c r="O26" s="1168"/>
      <c r="P26" s="192"/>
      <c r="Q26" s="192"/>
      <c r="R26" s="170"/>
      <c r="S26" s="170"/>
      <c r="T26" s="170"/>
      <c r="U26" s="170"/>
      <c r="V26" s="170"/>
      <c r="W26" s="170"/>
      <c r="X26" s="170"/>
      <c r="Y26" s="170"/>
    </row>
    <row r="27" spans="1:25" ht="15" customHeight="1" x14ac:dyDescent="0.25">
      <c r="A27" s="203">
        <v>6</v>
      </c>
      <c r="B27" s="1528"/>
      <c r="C27" s="1530"/>
      <c r="D27" s="204" t="s">
        <v>836</v>
      </c>
      <c r="E27" s="696">
        <v>104.205</v>
      </c>
      <c r="F27" s="697">
        <v>77852.678</v>
      </c>
      <c r="G27" s="503">
        <f t="shared" si="3"/>
        <v>62.259231002990902</v>
      </c>
      <c r="H27" s="695">
        <v>14.917</v>
      </c>
      <c r="I27" s="681">
        <v>10940.405000000001</v>
      </c>
      <c r="J27" s="518" t="s">
        <v>835</v>
      </c>
      <c r="K27" s="516">
        <f t="shared" si="4"/>
        <v>119.122</v>
      </c>
      <c r="L27" s="516">
        <f t="shared" si="4"/>
        <v>88793.082999999999</v>
      </c>
      <c r="M27" s="205">
        <f t="shared" si="5"/>
        <v>62.116347805890875</v>
      </c>
      <c r="N27" s="1169"/>
      <c r="O27" s="1168"/>
      <c r="P27" s="192"/>
      <c r="Q27" s="192"/>
      <c r="R27" s="170"/>
      <c r="S27" s="170"/>
      <c r="T27" s="170"/>
      <c r="U27" s="170"/>
      <c r="V27" s="170"/>
      <c r="W27" s="170"/>
      <c r="X27" s="170"/>
      <c r="Y27" s="170"/>
    </row>
    <row r="28" spans="1:25" ht="15" customHeight="1" x14ac:dyDescent="0.25">
      <c r="A28" s="203">
        <v>7</v>
      </c>
      <c r="B28" s="1528"/>
      <c r="C28" s="1531"/>
      <c r="D28" s="224" t="s">
        <v>449</v>
      </c>
      <c r="E28" s="504">
        <f>SUM(E22:E27)</f>
        <v>3351.8939999999993</v>
      </c>
      <c r="F28" s="505">
        <f>SUM(F22:F27)</f>
        <v>2756695.7119999994</v>
      </c>
      <c r="G28" s="506">
        <f t="shared" si="3"/>
        <v>68.535771914823883</v>
      </c>
      <c r="H28" s="504">
        <f>SUM(H22:H27)</f>
        <v>723.7879999999999</v>
      </c>
      <c r="I28" s="505">
        <f>SUM(I22:I27)</f>
        <v>709995.73499999999</v>
      </c>
      <c r="J28" s="519" t="s">
        <v>835</v>
      </c>
      <c r="K28" s="1206">
        <f>SUM(K22:K27)</f>
        <v>4075.6819999999998</v>
      </c>
      <c r="L28" s="1207">
        <f>SUM(L22:L27)</f>
        <v>3466691.4470000002</v>
      </c>
      <c r="M28" s="225">
        <f t="shared" si="5"/>
        <v>70.881622736186657</v>
      </c>
      <c r="N28" s="1169"/>
      <c r="O28" s="1168"/>
      <c r="P28" s="170"/>
      <c r="Q28" s="192"/>
      <c r="R28" s="170"/>
      <c r="S28" s="170"/>
      <c r="T28" s="170"/>
      <c r="U28" s="170"/>
      <c r="V28" s="170"/>
      <c r="W28" s="170"/>
      <c r="X28" s="170"/>
      <c r="Y28" s="170"/>
    </row>
    <row r="29" spans="1:25" ht="15" customHeight="1" x14ac:dyDescent="0.25">
      <c r="A29" s="203">
        <v>8</v>
      </c>
      <c r="B29" s="1528"/>
      <c r="C29" s="1532" t="s">
        <v>837</v>
      </c>
      <c r="D29" s="1520"/>
      <c r="E29" s="684">
        <v>429.10199999999998</v>
      </c>
      <c r="F29" s="681">
        <v>295948.67099999997</v>
      </c>
      <c r="G29" s="503">
        <f t="shared" si="3"/>
        <v>57.474421582747219</v>
      </c>
      <c r="H29" s="695">
        <v>689.24900000000002</v>
      </c>
      <c r="I29" s="681">
        <v>431620.27899999998</v>
      </c>
      <c r="J29" s="518" t="s">
        <v>835</v>
      </c>
      <c r="K29" s="517">
        <f t="shared" ref="K29:L32" si="6">E29+H29</f>
        <v>1118.3510000000001</v>
      </c>
      <c r="L29" s="517">
        <f t="shared" si="6"/>
        <v>727568.95</v>
      </c>
      <c r="M29" s="205">
        <f t="shared" si="5"/>
        <v>54.214415539784305</v>
      </c>
      <c r="N29" s="207"/>
      <c r="O29" s="1168"/>
      <c r="P29" s="192"/>
      <c r="Q29" s="192"/>
      <c r="R29" s="170"/>
      <c r="S29" s="170"/>
      <c r="T29" s="170"/>
      <c r="U29" s="170"/>
      <c r="V29" s="170"/>
      <c r="W29" s="170"/>
      <c r="X29" s="170"/>
      <c r="Y29" s="170"/>
    </row>
    <row r="30" spans="1:25" ht="15" customHeight="1" x14ac:dyDescent="0.25">
      <c r="A30" s="203">
        <v>9</v>
      </c>
      <c r="B30" s="1529"/>
      <c r="C30" s="1533" t="s">
        <v>838</v>
      </c>
      <c r="D30" s="1534"/>
      <c r="E30" s="684">
        <v>2659.8310000000001</v>
      </c>
      <c r="F30" s="681">
        <v>1494596.906</v>
      </c>
      <c r="G30" s="503">
        <f t="shared" si="3"/>
        <v>46.826186388032419</v>
      </c>
      <c r="H30" s="695">
        <v>710.50699999999995</v>
      </c>
      <c r="I30" s="681">
        <v>440670.766</v>
      </c>
      <c r="J30" s="518" t="s">
        <v>835</v>
      </c>
      <c r="K30" s="517">
        <f t="shared" si="6"/>
        <v>3370.3380000000002</v>
      </c>
      <c r="L30" s="517">
        <f t="shared" si="6"/>
        <v>1935267.672</v>
      </c>
      <c r="M30" s="205">
        <f t="shared" si="5"/>
        <v>47.850484432125207</v>
      </c>
      <c r="N30" s="192"/>
      <c r="O30" s="1168"/>
      <c r="P30" s="170"/>
      <c r="Q30" s="192"/>
      <c r="R30" s="170"/>
      <c r="S30" s="170"/>
      <c r="T30" s="170"/>
      <c r="U30" s="170"/>
      <c r="V30" s="170"/>
      <c r="W30" s="170"/>
      <c r="X30" s="170"/>
      <c r="Y30" s="170"/>
    </row>
    <row r="31" spans="1:25" ht="15" customHeight="1" x14ac:dyDescent="0.25">
      <c r="A31" s="203">
        <v>10</v>
      </c>
      <c r="B31" s="1520" t="s">
        <v>369</v>
      </c>
      <c r="C31" s="1520"/>
      <c r="D31" s="1520"/>
      <c r="E31" s="684">
        <v>389.3</v>
      </c>
      <c r="F31" s="681">
        <v>158042.283</v>
      </c>
      <c r="G31" s="503">
        <f t="shared" si="3"/>
        <v>33.83043989211405</v>
      </c>
      <c r="H31" s="695">
        <v>74.34</v>
      </c>
      <c r="I31" s="681">
        <v>31448.792000000001</v>
      </c>
      <c r="J31" s="518" t="s">
        <v>835</v>
      </c>
      <c r="K31" s="517">
        <f t="shared" si="6"/>
        <v>463.64</v>
      </c>
      <c r="L31" s="517">
        <f t="shared" si="6"/>
        <v>189491.07500000001</v>
      </c>
      <c r="M31" s="205">
        <f t="shared" si="5"/>
        <v>34.058586223506751</v>
      </c>
      <c r="N31" s="170"/>
      <c r="O31" s="1168"/>
      <c r="V31" s="170"/>
      <c r="W31" s="170"/>
      <c r="X31" s="170"/>
      <c r="Y31" s="170"/>
    </row>
    <row r="32" spans="1:25" ht="15" customHeight="1" thickBot="1" x14ac:dyDescent="0.3">
      <c r="A32" s="208">
        <v>11</v>
      </c>
      <c r="B32" s="1521" t="s">
        <v>457</v>
      </c>
      <c r="C32" s="1521"/>
      <c r="D32" s="1521"/>
      <c r="E32" s="690">
        <v>0</v>
      </c>
      <c r="F32" s="685">
        <v>0</v>
      </c>
      <c r="G32" s="503">
        <f t="shared" si="3"/>
        <v>0</v>
      </c>
      <c r="H32" s="698">
        <v>0</v>
      </c>
      <c r="I32" s="685">
        <v>0</v>
      </c>
      <c r="J32" s="520" t="s">
        <v>835</v>
      </c>
      <c r="K32" s="1120">
        <f t="shared" si="6"/>
        <v>0</v>
      </c>
      <c r="L32" s="1121">
        <f t="shared" si="6"/>
        <v>0</v>
      </c>
      <c r="M32" s="205">
        <f t="shared" si="5"/>
        <v>0</v>
      </c>
      <c r="N32" s="170"/>
      <c r="O32" s="1168"/>
      <c r="V32" s="170"/>
      <c r="W32" s="170"/>
      <c r="X32" s="170"/>
      <c r="Y32" s="170"/>
    </row>
    <row r="33" spans="1:25" s="191" customFormat="1" ht="15" customHeight="1" thickBot="1" x14ac:dyDescent="0.3">
      <c r="A33" s="209">
        <v>12</v>
      </c>
      <c r="B33" s="1522" t="s">
        <v>449</v>
      </c>
      <c r="C33" s="1522"/>
      <c r="D33" s="1522"/>
      <c r="E33" s="210">
        <f>SUM(E28:E32)</f>
        <v>6830.1269999999995</v>
      </c>
      <c r="F33" s="211">
        <f>SUM(F28:F32)</f>
        <v>4705283.5719999988</v>
      </c>
      <c r="G33" s="384">
        <f>IF(E33=0,0,F33/12/E33)</f>
        <v>57.408444137763951</v>
      </c>
      <c r="H33" s="210">
        <f>SUM(H28:H32)</f>
        <v>2197.884</v>
      </c>
      <c r="I33" s="211">
        <f>SUM(I28:I32)</f>
        <v>1613735.5719999999</v>
      </c>
      <c r="J33" s="405" t="s">
        <v>835</v>
      </c>
      <c r="K33" s="212">
        <f>SUM(K28:K32)</f>
        <v>9028.0109999999986</v>
      </c>
      <c r="L33" s="211">
        <f>SUM(L28:L32)</f>
        <v>6319019.1440000003</v>
      </c>
      <c r="M33" s="213">
        <f t="shared" si="5"/>
        <v>58.327900649065093</v>
      </c>
      <c r="N33" s="192"/>
      <c r="O33" s="1168"/>
      <c r="P33" s="192"/>
      <c r="Q33" s="501"/>
      <c r="V33" s="190"/>
      <c r="W33" s="190"/>
      <c r="X33" s="190"/>
      <c r="Y33" s="190"/>
    </row>
    <row r="34" spans="1:25" s="170" customFormat="1" ht="15" hidden="1" customHeight="1" x14ac:dyDescent="0.25">
      <c r="B34" s="214" t="s">
        <v>998</v>
      </c>
      <c r="E34" s="206" t="s">
        <v>999</v>
      </c>
      <c r="F34" s="207">
        <f>F28-E10-G10</f>
        <v>0</v>
      </c>
      <c r="L34" s="215">
        <f>L28-W10</f>
        <v>4.9436651170253754E-4</v>
      </c>
      <c r="N34" s="748"/>
      <c r="O34" s="1168"/>
      <c r="P34" s="192"/>
      <c r="Q34" s="192"/>
    </row>
    <row r="35" spans="1:25" s="170" customFormat="1" ht="15" hidden="1" customHeight="1" x14ac:dyDescent="0.25">
      <c r="B35" s="214"/>
      <c r="E35" s="206" t="s">
        <v>1000</v>
      </c>
      <c r="F35" s="207">
        <f>F29-E11-G11</f>
        <v>0</v>
      </c>
      <c r="G35" s="192"/>
      <c r="J35" s="192"/>
      <c r="L35" s="215">
        <f>L29-W11</f>
        <v>1.723697641864419E-4</v>
      </c>
      <c r="N35" s="748"/>
      <c r="O35" s="1168"/>
      <c r="Q35" s="192"/>
    </row>
    <row r="36" spans="1:25" s="170" customFormat="1" ht="15" hidden="1" customHeight="1" x14ac:dyDescent="0.25">
      <c r="B36" s="214"/>
      <c r="E36" s="206" t="s">
        <v>371</v>
      </c>
      <c r="F36" s="207">
        <f>F33-E15-G15</f>
        <v>0</v>
      </c>
      <c r="I36" s="192"/>
      <c r="L36" s="215">
        <f>L33-W15</f>
        <v>0</v>
      </c>
      <c r="N36" s="748"/>
      <c r="O36" s="1168"/>
    </row>
    <row r="37" spans="1:25" s="170" customFormat="1" ht="6.75" customHeight="1" x14ac:dyDescent="0.25">
      <c r="B37" s="214"/>
      <c r="F37" s="192"/>
      <c r="L37" s="215"/>
    </row>
    <row r="38" spans="1:25" s="123" customFormat="1" ht="12.75" customHeight="1" x14ac:dyDescent="0.25">
      <c r="A38" s="123" t="s">
        <v>467</v>
      </c>
      <c r="E38" s="1166"/>
    </row>
    <row r="39" spans="1:25" s="123" customFormat="1" ht="29.25" customHeight="1" x14ac:dyDescent="0.25">
      <c r="A39" s="1393" t="s">
        <v>602</v>
      </c>
      <c r="B39" s="1393"/>
      <c r="C39" s="1393"/>
      <c r="D39" s="1393"/>
      <c r="E39" s="1393"/>
      <c r="F39" s="1393"/>
      <c r="G39" s="1393"/>
      <c r="H39" s="1393"/>
      <c r="I39" s="1393"/>
      <c r="J39" s="1393"/>
      <c r="K39" s="1393"/>
      <c r="L39" s="1393"/>
      <c r="M39" s="1393"/>
    </row>
    <row r="40" spans="1:25" s="123" customFormat="1" ht="16.149999999999999" customHeight="1" x14ac:dyDescent="0.25">
      <c r="A40" s="1393" t="s">
        <v>578</v>
      </c>
      <c r="B40" s="1393"/>
      <c r="C40" s="1393"/>
      <c r="D40" s="1393"/>
      <c r="E40" s="1393"/>
      <c r="F40" s="1393"/>
      <c r="G40" s="1393"/>
      <c r="H40" s="1393"/>
      <c r="I40" s="1393"/>
      <c r="J40" s="1393"/>
      <c r="K40" s="1393"/>
      <c r="L40" s="1393"/>
      <c r="M40" s="1393"/>
    </row>
    <row r="41" spans="1:25" s="123" customFormat="1" ht="39" customHeight="1" x14ac:dyDescent="0.25">
      <c r="A41" s="1393" t="s">
        <v>839</v>
      </c>
      <c r="B41" s="1393"/>
      <c r="C41" s="1393"/>
      <c r="D41" s="1393"/>
      <c r="E41" s="1393"/>
      <c r="F41" s="1393"/>
      <c r="G41" s="1393"/>
      <c r="H41" s="1393"/>
      <c r="I41" s="1393"/>
      <c r="J41" s="1393"/>
      <c r="K41" s="1393"/>
      <c r="L41" s="1393"/>
      <c r="M41" s="1393"/>
    </row>
    <row r="42" spans="1:25" s="123" customFormat="1" ht="75.75" customHeight="1" x14ac:dyDescent="0.25">
      <c r="A42" s="1393" t="s">
        <v>840</v>
      </c>
      <c r="B42" s="1393"/>
      <c r="C42" s="1393"/>
      <c r="D42" s="1393"/>
      <c r="E42" s="1393"/>
      <c r="F42" s="1393"/>
      <c r="G42" s="1393"/>
      <c r="H42" s="1393"/>
      <c r="I42" s="1393"/>
      <c r="J42" s="1393"/>
      <c r="K42" s="1393"/>
      <c r="L42" s="1393"/>
      <c r="M42" s="1393"/>
    </row>
    <row r="43" spans="1:25" s="123" customFormat="1" ht="16.149999999999999" customHeight="1" x14ac:dyDescent="0.25">
      <c r="A43" s="1393" t="s">
        <v>560</v>
      </c>
      <c r="B43" s="1393"/>
      <c r="C43" s="1393"/>
      <c r="D43" s="1393"/>
      <c r="E43" s="1393"/>
      <c r="F43" s="1393"/>
      <c r="G43" s="1393"/>
      <c r="H43" s="1393"/>
      <c r="I43" s="1393"/>
      <c r="J43" s="1393"/>
      <c r="K43" s="1393"/>
      <c r="L43" s="1393"/>
      <c r="M43" s="1393"/>
    </row>
    <row r="44" spans="1:25" s="123" customFormat="1" ht="29.65" customHeight="1" x14ac:dyDescent="0.25">
      <c r="A44" s="1393" t="s">
        <v>841</v>
      </c>
      <c r="B44" s="1393"/>
      <c r="C44" s="1393"/>
      <c r="D44" s="1393"/>
      <c r="E44" s="1393"/>
      <c r="F44" s="1393"/>
      <c r="G44" s="1393"/>
      <c r="H44" s="1393"/>
      <c r="I44" s="1393"/>
      <c r="J44" s="1393"/>
      <c r="K44" s="1393"/>
      <c r="L44" s="1393"/>
      <c r="M44" s="1393"/>
    </row>
    <row r="45" spans="1:25" s="123" customFormat="1" ht="12.75" customHeight="1" x14ac:dyDescent="0.25">
      <c r="A45" s="1393" t="s">
        <v>1200</v>
      </c>
      <c r="B45" s="1393"/>
      <c r="C45" s="1393"/>
      <c r="D45" s="1393"/>
      <c r="E45" s="1393"/>
      <c r="F45" s="1393"/>
      <c r="G45" s="1393"/>
      <c r="H45" s="1393"/>
      <c r="I45" s="1393"/>
      <c r="J45" s="1393"/>
      <c r="K45" s="1393"/>
      <c r="L45" s="1393"/>
      <c r="M45" s="1393"/>
    </row>
    <row r="46" spans="1:25" s="123" customFormat="1" ht="27.75" customHeight="1" x14ac:dyDescent="0.25">
      <c r="A46" s="1393" t="s">
        <v>1199</v>
      </c>
      <c r="B46" s="1394"/>
      <c r="C46" s="1394"/>
      <c r="D46" s="1394"/>
      <c r="E46" s="1394"/>
      <c r="F46" s="1394"/>
      <c r="G46" s="1394"/>
      <c r="H46" s="1394"/>
      <c r="I46" s="1394"/>
      <c r="J46" s="1394"/>
      <c r="K46" s="1394"/>
      <c r="L46" s="1394"/>
      <c r="M46" s="1394"/>
    </row>
    <row r="47" spans="1:25" s="170" customFormat="1" ht="15" hidden="1" customHeight="1" thickBot="1" x14ac:dyDescent="0.3">
      <c r="A47" s="521"/>
      <c r="B47" s="1587">
        <v>2017</v>
      </c>
      <c r="C47" s="1587"/>
      <c r="D47" s="1587"/>
    </row>
    <row r="48" spans="1:25" s="170" customFormat="1" ht="15.75" hidden="1" x14ac:dyDescent="0.25">
      <c r="A48" s="1563" t="s">
        <v>341</v>
      </c>
      <c r="B48" s="1566" t="s">
        <v>368</v>
      </c>
      <c r="C48" s="1567"/>
      <c r="D48" s="1568"/>
      <c r="E48" s="1575" t="s">
        <v>466</v>
      </c>
      <c r="F48" s="1576"/>
      <c r="G48" s="1576"/>
      <c r="H48" s="1576"/>
      <c r="I48" s="1576"/>
      <c r="J48" s="1576"/>
      <c r="K48" s="1576"/>
      <c r="L48" s="1576"/>
      <c r="M48" s="1576"/>
      <c r="N48" s="1576"/>
      <c r="O48" s="1576"/>
      <c r="P48" s="1576"/>
      <c r="Q48" s="1576"/>
      <c r="R48" s="1576"/>
      <c r="S48" s="1576"/>
      <c r="T48" s="1576"/>
      <c r="U48" s="1576"/>
      <c r="V48" s="1576"/>
      <c r="W48" s="1576"/>
      <c r="X48" s="1577"/>
    </row>
    <row r="49" spans="1:24" s="170" customFormat="1" ht="12.75" hidden="1" customHeight="1" x14ac:dyDescent="0.25">
      <c r="A49" s="1564"/>
      <c r="B49" s="1569"/>
      <c r="C49" s="1570"/>
      <c r="D49" s="1571"/>
      <c r="E49" s="1578" t="s">
        <v>456</v>
      </c>
      <c r="F49" s="1579"/>
      <c r="G49" s="1579"/>
      <c r="H49" s="1580"/>
      <c r="I49" s="1578" t="s">
        <v>460</v>
      </c>
      <c r="J49" s="1579"/>
      <c r="K49" s="1579"/>
      <c r="L49" s="1580"/>
      <c r="M49" s="1578" t="s">
        <v>452</v>
      </c>
      <c r="N49" s="1579"/>
      <c r="O49" s="1579"/>
      <c r="P49" s="1580"/>
      <c r="Q49" s="1581" t="s">
        <v>450</v>
      </c>
      <c r="R49" s="1582"/>
      <c r="S49" s="1581" t="s">
        <v>361</v>
      </c>
      <c r="T49" s="1582"/>
      <c r="U49" s="1581" t="s">
        <v>453</v>
      </c>
      <c r="V49" s="1582"/>
      <c r="W49" s="1583" t="s">
        <v>449</v>
      </c>
      <c r="X49" s="1584"/>
    </row>
    <row r="50" spans="1:24" s="170" customFormat="1" ht="16.149999999999999" hidden="1" customHeight="1" x14ac:dyDescent="0.25">
      <c r="A50" s="1564"/>
      <c r="B50" s="1569"/>
      <c r="C50" s="1570"/>
      <c r="D50" s="1571"/>
      <c r="E50" s="1551" t="s">
        <v>451</v>
      </c>
      <c r="F50" s="1552"/>
      <c r="G50" s="1553" t="s">
        <v>459</v>
      </c>
      <c r="H50" s="1554"/>
      <c r="I50" s="1551" t="s">
        <v>830</v>
      </c>
      <c r="J50" s="1552"/>
      <c r="K50" s="1553" t="s">
        <v>461</v>
      </c>
      <c r="L50" s="1554"/>
      <c r="M50" s="1551" t="s">
        <v>898</v>
      </c>
      <c r="N50" s="1552"/>
      <c r="O50" s="1553" t="s">
        <v>462</v>
      </c>
      <c r="P50" s="1554"/>
      <c r="Q50" s="1578"/>
      <c r="R50" s="1580"/>
      <c r="S50" s="1578"/>
      <c r="T50" s="1580"/>
      <c r="U50" s="1578"/>
      <c r="V50" s="1580"/>
      <c r="W50" s="1585"/>
      <c r="X50" s="1586"/>
    </row>
    <row r="51" spans="1:24" s="170" customFormat="1" ht="25.15" hidden="1" customHeight="1" x14ac:dyDescent="0.25">
      <c r="A51" s="1564"/>
      <c r="B51" s="1569"/>
      <c r="C51" s="1570"/>
      <c r="D51" s="1571"/>
      <c r="E51" s="196" t="s">
        <v>367</v>
      </c>
      <c r="F51" s="172" t="s">
        <v>549</v>
      </c>
      <c r="G51" s="197" t="s">
        <v>367</v>
      </c>
      <c r="H51" s="198" t="s">
        <v>549</v>
      </c>
      <c r="I51" s="196" t="s">
        <v>367</v>
      </c>
      <c r="J51" s="197" t="s">
        <v>549</v>
      </c>
      <c r="K51" s="197" t="s">
        <v>367</v>
      </c>
      <c r="L51" s="198" t="s">
        <v>549</v>
      </c>
      <c r="M51" s="196" t="s">
        <v>367</v>
      </c>
      <c r="N51" s="197" t="s">
        <v>549</v>
      </c>
      <c r="O51" s="197" t="s">
        <v>367</v>
      </c>
      <c r="P51" s="198" t="s">
        <v>549</v>
      </c>
      <c r="Q51" s="196" t="s">
        <v>367</v>
      </c>
      <c r="R51" s="198" t="s">
        <v>549</v>
      </c>
      <c r="S51" s="196" t="s">
        <v>367</v>
      </c>
      <c r="T51" s="198" t="s">
        <v>549</v>
      </c>
      <c r="U51" s="196" t="s">
        <v>367</v>
      </c>
      <c r="V51" s="198" t="s">
        <v>549</v>
      </c>
      <c r="W51" s="507" t="s">
        <v>831</v>
      </c>
      <c r="X51" s="508" t="s">
        <v>549</v>
      </c>
    </row>
    <row r="52" spans="1:24" s="170" customFormat="1" ht="24" hidden="1" customHeight="1" thickBot="1" x14ac:dyDescent="0.3">
      <c r="A52" s="1565"/>
      <c r="B52" s="1572"/>
      <c r="C52" s="1573"/>
      <c r="D52" s="1574"/>
      <c r="E52" s="350">
        <v>1</v>
      </c>
      <c r="F52" s="351">
        <f>E52+1</f>
        <v>2</v>
      </c>
      <c r="G52" s="150">
        <f t="shared" ref="G52:X52" si="7">F52+1</f>
        <v>3</v>
      </c>
      <c r="H52" s="151">
        <f t="shared" si="7"/>
        <v>4</v>
      </c>
      <c r="I52" s="351">
        <f t="shared" si="7"/>
        <v>5</v>
      </c>
      <c r="J52" s="150">
        <f t="shared" si="7"/>
        <v>6</v>
      </c>
      <c r="K52" s="150">
        <f t="shared" si="7"/>
        <v>7</v>
      </c>
      <c r="L52" s="352">
        <f t="shared" si="7"/>
        <v>8</v>
      </c>
      <c r="M52" s="350">
        <f t="shared" si="7"/>
        <v>9</v>
      </c>
      <c r="N52" s="150">
        <f t="shared" si="7"/>
        <v>10</v>
      </c>
      <c r="O52" s="150">
        <f t="shared" si="7"/>
        <v>11</v>
      </c>
      <c r="P52" s="151">
        <f t="shared" si="7"/>
        <v>12</v>
      </c>
      <c r="Q52" s="350">
        <f t="shared" si="7"/>
        <v>13</v>
      </c>
      <c r="R52" s="151">
        <f t="shared" si="7"/>
        <v>14</v>
      </c>
      <c r="S52" s="351">
        <f t="shared" si="7"/>
        <v>15</v>
      </c>
      <c r="T52" s="352">
        <f t="shared" si="7"/>
        <v>16</v>
      </c>
      <c r="U52" s="350">
        <f t="shared" si="7"/>
        <v>17</v>
      </c>
      <c r="V52" s="151">
        <f t="shared" si="7"/>
        <v>18</v>
      </c>
      <c r="W52" s="353">
        <f t="shared" si="7"/>
        <v>19</v>
      </c>
      <c r="X52" s="354">
        <f t="shared" si="7"/>
        <v>20</v>
      </c>
    </row>
    <row r="53" spans="1:24" s="170" customFormat="1" ht="37.5" hidden="1" customHeight="1" x14ac:dyDescent="0.25">
      <c r="A53" s="178">
        <v>1</v>
      </c>
      <c r="B53" s="1529" t="s">
        <v>458</v>
      </c>
      <c r="C53" s="1556" t="s">
        <v>448</v>
      </c>
      <c r="D53" s="1557"/>
      <c r="E53" s="522">
        <v>1395264.3119999999</v>
      </c>
      <c r="F53" s="523">
        <v>25810.120999999996</v>
      </c>
      <c r="G53" s="523">
        <v>417934.65199999994</v>
      </c>
      <c r="H53" s="524">
        <v>2547.924</v>
      </c>
      <c r="I53" s="525">
        <v>167468.33600000001</v>
      </c>
      <c r="J53" s="523">
        <v>8098.4550000000008</v>
      </c>
      <c r="K53" s="523">
        <v>5910.7060000000001</v>
      </c>
      <c r="L53" s="526">
        <v>470.37099999999998</v>
      </c>
      <c r="M53" s="522">
        <v>4684.3119999999999</v>
      </c>
      <c r="N53" s="523">
        <v>5475.7219999999998</v>
      </c>
      <c r="O53" s="523">
        <v>12802.915000000001</v>
      </c>
      <c r="P53" s="524">
        <v>0</v>
      </c>
      <c r="Q53" s="522">
        <v>0</v>
      </c>
      <c r="R53" s="524">
        <v>0</v>
      </c>
      <c r="S53" s="525">
        <v>14140.294000000002</v>
      </c>
      <c r="T53" s="526">
        <v>2373.3029999999999</v>
      </c>
      <c r="U53" s="522">
        <v>225590.36500000005</v>
      </c>
      <c r="V53" s="524">
        <v>29175.524000000001</v>
      </c>
      <c r="W53" s="509">
        <f t="shared" ref="W53:X57" si="8">E53+G53+I53+K53+M53+O53+Q53+S53+U53</f>
        <v>2243795.892</v>
      </c>
      <c r="X53" s="510">
        <f t="shared" si="8"/>
        <v>73951.42</v>
      </c>
    </row>
    <row r="54" spans="1:24" s="170" customFormat="1" ht="16.149999999999999" hidden="1" customHeight="1" x14ac:dyDescent="0.25">
      <c r="A54" s="178">
        <v>2</v>
      </c>
      <c r="B54" s="1555"/>
      <c r="C54" s="1558" t="s">
        <v>370</v>
      </c>
      <c r="D54" s="1559"/>
      <c r="E54" s="527">
        <v>69829.34599999999</v>
      </c>
      <c r="F54" s="528">
        <v>13844.030999999999</v>
      </c>
      <c r="G54" s="528">
        <v>111802.83199999999</v>
      </c>
      <c r="H54" s="529">
        <v>4999.7190000000001</v>
      </c>
      <c r="I54" s="530">
        <v>180438.80799999999</v>
      </c>
      <c r="J54" s="528">
        <v>13556.606999999998</v>
      </c>
      <c r="K54" s="528">
        <v>11166.761999999999</v>
      </c>
      <c r="L54" s="531">
        <v>829.56700000000001</v>
      </c>
      <c r="M54" s="527">
        <v>6128.1610000000001</v>
      </c>
      <c r="N54" s="528">
        <v>351.70000000000005</v>
      </c>
      <c r="O54" s="528">
        <v>17414.654999999999</v>
      </c>
      <c r="P54" s="529">
        <v>387.91999999999996</v>
      </c>
      <c r="Q54" s="527">
        <v>0</v>
      </c>
      <c r="R54" s="529">
        <v>0</v>
      </c>
      <c r="S54" s="530">
        <v>1802.2339999999997</v>
      </c>
      <c r="T54" s="531">
        <v>68.457999999999998</v>
      </c>
      <c r="U54" s="527">
        <v>16250.16</v>
      </c>
      <c r="V54" s="529">
        <v>2799.6189999999997</v>
      </c>
      <c r="W54" s="511">
        <f t="shared" si="8"/>
        <v>414832.95799999998</v>
      </c>
      <c r="X54" s="512">
        <f t="shared" si="8"/>
        <v>36837.620999999992</v>
      </c>
    </row>
    <row r="55" spans="1:24" s="170" customFormat="1" ht="16.149999999999999" hidden="1" customHeight="1" x14ac:dyDescent="0.25">
      <c r="A55" s="179">
        <v>3</v>
      </c>
      <c r="B55" s="1555"/>
      <c r="C55" s="1560" t="s">
        <v>345</v>
      </c>
      <c r="D55" s="1561"/>
      <c r="E55" s="527">
        <v>742074.73999999987</v>
      </c>
      <c r="F55" s="528">
        <v>76366.148000000016</v>
      </c>
      <c r="G55" s="528">
        <v>113136.568</v>
      </c>
      <c r="H55" s="529">
        <v>26277.125</v>
      </c>
      <c r="I55" s="530">
        <v>40012.950000000012</v>
      </c>
      <c r="J55" s="528">
        <v>32529.301000000003</v>
      </c>
      <c r="K55" s="528">
        <v>1984.2799999999997</v>
      </c>
      <c r="L55" s="531">
        <v>1486.8319999999999</v>
      </c>
      <c r="M55" s="527">
        <v>7729.0949999999993</v>
      </c>
      <c r="N55" s="528">
        <v>8394.8320000000003</v>
      </c>
      <c r="O55" s="528">
        <v>5767.0069999999996</v>
      </c>
      <c r="P55" s="529">
        <v>2899.7170000000001</v>
      </c>
      <c r="Q55" s="527">
        <v>199.5</v>
      </c>
      <c r="R55" s="529">
        <v>0</v>
      </c>
      <c r="S55" s="530">
        <v>32712.295000000002</v>
      </c>
      <c r="T55" s="531">
        <v>9450.3680000000022</v>
      </c>
      <c r="U55" s="527">
        <v>125245.395</v>
      </c>
      <c r="V55" s="529">
        <v>24175.903000000002</v>
      </c>
      <c r="W55" s="511">
        <f t="shared" si="8"/>
        <v>1068861.8299999998</v>
      </c>
      <c r="X55" s="512">
        <f t="shared" si="8"/>
        <v>181580.22600000002</v>
      </c>
    </row>
    <row r="56" spans="1:24" s="170" customFormat="1" ht="15" hidden="1" customHeight="1" x14ac:dyDescent="0.25">
      <c r="A56" s="179">
        <v>4</v>
      </c>
      <c r="B56" s="1535" t="s">
        <v>369</v>
      </c>
      <c r="C56" s="1536"/>
      <c r="D56" s="1537"/>
      <c r="E56" s="527">
        <v>105180.916</v>
      </c>
      <c r="F56" s="528">
        <v>1635.1289999999999</v>
      </c>
      <c r="G56" s="528">
        <v>0</v>
      </c>
      <c r="H56" s="529">
        <v>0</v>
      </c>
      <c r="I56" s="530">
        <v>0</v>
      </c>
      <c r="J56" s="528">
        <v>0</v>
      </c>
      <c r="K56" s="528">
        <v>0</v>
      </c>
      <c r="L56" s="531">
        <v>0</v>
      </c>
      <c r="M56" s="527">
        <v>0</v>
      </c>
      <c r="N56" s="528">
        <v>0</v>
      </c>
      <c r="O56" s="528">
        <v>0</v>
      </c>
      <c r="P56" s="529">
        <v>0</v>
      </c>
      <c r="Q56" s="527">
        <v>0</v>
      </c>
      <c r="R56" s="529">
        <v>0</v>
      </c>
      <c r="S56" s="530">
        <v>10615.02</v>
      </c>
      <c r="T56" s="531">
        <v>488.57499999999999</v>
      </c>
      <c r="U56" s="527">
        <v>2127.5720000000001</v>
      </c>
      <c r="V56" s="529">
        <v>33</v>
      </c>
      <c r="W56" s="511">
        <f t="shared" si="8"/>
        <v>117923.508</v>
      </c>
      <c r="X56" s="512">
        <f t="shared" si="8"/>
        <v>2156.7039999999997</v>
      </c>
    </row>
    <row r="57" spans="1:24" s="170" customFormat="1" ht="14.25" hidden="1" customHeight="1" thickBot="1" x14ac:dyDescent="0.3">
      <c r="A57" s="180">
        <v>5</v>
      </c>
      <c r="B57" s="1538" t="s">
        <v>457</v>
      </c>
      <c r="C57" s="1539"/>
      <c r="D57" s="1540"/>
      <c r="E57" s="532">
        <v>0</v>
      </c>
      <c r="F57" s="533">
        <v>0</v>
      </c>
      <c r="G57" s="533">
        <v>0</v>
      </c>
      <c r="H57" s="534">
        <v>0</v>
      </c>
      <c r="I57" s="530">
        <v>0</v>
      </c>
      <c r="J57" s="528">
        <v>0</v>
      </c>
      <c r="K57" s="528">
        <v>0</v>
      </c>
      <c r="L57" s="531">
        <v>0</v>
      </c>
      <c r="M57" s="532">
        <v>0</v>
      </c>
      <c r="N57" s="533">
        <v>0</v>
      </c>
      <c r="O57" s="533">
        <v>0</v>
      </c>
      <c r="P57" s="534">
        <v>0</v>
      </c>
      <c r="Q57" s="532">
        <v>0</v>
      </c>
      <c r="R57" s="534">
        <v>0</v>
      </c>
      <c r="S57" s="530">
        <v>0</v>
      </c>
      <c r="T57" s="531">
        <v>0</v>
      </c>
      <c r="U57" s="532">
        <v>0</v>
      </c>
      <c r="V57" s="534">
        <v>0</v>
      </c>
      <c r="W57" s="513">
        <f t="shared" si="8"/>
        <v>0</v>
      </c>
      <c r="X57" s="514">
        <f t="shared" si="8"/>
        <v>0</v>
      </c>
    </row>
    <row r="58" spans="1:24" s="170" customFormat="1" ht="16.7" hidden="1" customHeight="1" thickBot="1" x14ac:dyDescent="0.3">
      <c r="A58" s="181">
        <v>6</v>
      </c>
      <c r="B58" s="1541" t="s">
        <v>449</v>
      </c>
      <c r="C58" s="1542"/>
      <c r="D58" s="1543"/>
      <c r="E58" s="182">
        <f t="shared" ref="E58:X58" si="9">SUM(E53:E57)</f>
        <v>2312349.3139999998</v>
      </c>
      <c r="F58" s="183">
        <f t="shared" si="9"/>
        <v>117655.42900000002</v>
      </c>
      <c r="G58" s="184">
        <f t="shared" si="9"/>
        <v>642874.05199999991</v>
      </c>
      <c r="H58" s="185">
        <f t="shared" si="9"/>
        <v>33824.767999999996</v>
      </c>
      <c r="I58" s="182">
        <f t="shared" si="9"/>
        <v>387920.09399999998</v>
      </c>
      <c r="J58" s="184">
        <f t="shared" si="9"/>
        <v>54184.362999999998</v>
      </c>
      <c r="K58" s="184">
        <f t="shared" si="9"/>
        <v>19061.748</v>
      </c>
      <c r="L58" s="185">
        <f t="shared" si="9"/>
        <v>2786.77</v>
      </c>
      <c r="M58" s="182">
        <f t="shared" si="9"/>
        <v>18541.567999999999</v>
      </c>
      <c r="N58" s="184">
        <f t="shared" si="9"/>
        <v>14222.254000000001</v>
      </c>
      <c r="O58" s="184">
        <f t="shared" si="9"/>
        <v>35984.576999999997</v>
      </c>
      <c r="P58" s="185">
        <f t="shared" si="9"/>
        <v>3287.6370000000002</v>
      </c>
      <c r="Q58" s="186">
        <f t="shared" si="9"/>
        <v>199.5</v>
      </c>
      <c r="R58" s="187">
        <f t="shared" si="9"/>
        <v>0</v>
      </c>
      <c r="S58" s="186">
        <f t="shared" si="9"/>
        <v>59269.843000000008</v>
      </c>
      <c r="T58" s="187">
        <f t="shared" si="9"/>
        <v>12380.704000000003</v>
      </c>
      <c r="U58" s="188">
        <f t="shared" si="9"/>
        <v>369213.49200000003</v>
      </c>
      <c r="V58" s="189">
        <f t="shared" si="9"/>
        <v>56184.046000000002</v>
      </c>
      <c r="W58" s="216">
        <f t="shared" si="9"/>
        <v>3845414.1879999996</v>
      </c>
      <c r="X58" s="217">
        <f t="shared" si="9"/>
        <v>294525.97100000002</v>
      </c>
    </row>
    <row r="59" spans="1:24" s="170" customFormat="1" ht="18.75" hidden="1" customHeight="1" x14ac:dyDescent="0.25"/>
    <row r="60" spans="1:24" ht="23.25" hidden="1" x14ac:dyDescent="0.25">
      <c r="A60" s="105" t="s">
        <v>852</v>
      </c>
      <c r="B60" s="193"/>
      <c r="C60" s="193"/>
      <c r="D60" s="193"/>
      <c r="E60" s="193"/>
      <c r="F60" s="193"/>
      <c r="G60" s="193"/>
      <c r="H60" s="193"/>
      <c r="I60" s="193"/>
      <c r="J60" s="193"/>
      <c r="K60" s="193"/>
      <c r="L60" s="193"/>
      <c r="M60" s="339" t="s">
        <v>901</v>
      </c>
      <c r="N60" s="193"/>
      <c r="O60" s="193"/>
      <c r="P60" s="193"/>
      <c r="Q60" s="193"/>
      <c r="R60" s="193"/>
      <c r="S60" s="193"/>
    </row>
    <row r="61" spans="1:24" ht="16.149999999999999" hidden="1" customHeight="1" thickBot="1" x14ac:dyDescent="0.3">
      <c r="A61" s="195"/>
      <c r="B61" s="193"/>
      <c r="C61" s="193"/>
      <c r="D61" s="193"/>
      <c r="E61" s="193"/>
      <c r="F61" s="193"/>
      <c r="G61" s="193"/>
      <c r="H61" s="193"/>
      <c r="I61" s="193"/>
      <c r="J61" s="193"/>
      <c r="K61" s="193"/>
      <c r="L61" s="193"/>
      <c r="M61" s="194"/>
      <c r="N61" s="170"/>
      <c r="O61" s="170"/>
      <c r="P61" s="170"/>
      <c r="Q61" s="170"/>
      <c r="R61" s="170"/>
      <c r="S61" s="170"/>
      <c r="T61" s="170"/>
    </row>
    <row r="62" spans="1:24" ht="15" hidden="1" x14ac:dyDescent="0.25">
      <c r="A62" s="1544" t="s">
        <v>341</v>
      </c>
      <c r="B62" s="1547" t="s">
        <v>368</v>
      </c>
      <c r="C62" s="1547"/>
      <c r="D62" s="1547"/>
      <c r="E62" s="1550" t="s">
        <v>463</v>
      </c>
      <c r="F62" s="1526"/>
      <c r="G62" s="1527"/>
      <c r="H62" s="1523" t="s">
        <v>465</v>
      </c>
      <c r="I62" s="1524"/>
      <c r="J62" s="1525"/>
      <c r="K62" s="1526" t="s">
        <v>449</v>
      </c>
      <c r="L62" s="1526"/>
      <c r="M62" s="1527"/>
      <c r="N62" s="170"/>
      <c r="O62" s="1458" t="s">
        <v>832</v>
      </c>
      <c r="P62" s="1458"/>
      <c r="Q62" s="1458"/>
      <c r="R62" s="1458"/>
      <c r="S62" s="1458"/>
      <c r="T62" s="1458"/>
      <c r="U62" s="1458"/>
      <c r="V62" s="1458"/>
      <c r="W62" s="1458"/>
      <c r="X62" s="1458"/>
    </row>
    <row r="63" spans="1:24" ht="38.25" hidden="1" x14ac:dyDescent="0.25">
      <c r="A63" s="1545"/>
      <c r="B63" s="1548"/>
      <c r="C63" s="1548"/>
      <c r="D63" s="1548"/>
      <c r="E63" s="196" t="s">
        <v>833</v>
      </c>
      <c r="F63" s="197" t="s">
        <v>464</v>
      </c>
      <c r="G63" s="198" t="s">
        <v>455</v>
      </c>
      <c r="H63" s="196" t="s">
        <v>454</v>
      </c>
      <c r="I63" s="197" t="s">
        <v>464</v>
      </c>
      <c r="J63" s="198" t="s">
        <v>455</v>
      </c>
      <c r="K63" s="172" t="s">
        <v>454</v>
      </c>
      <c r="L63" s="9" t="s">
        <v>464</v>
      </c>
      <c r="M63" s="198" t="s">
        <v>455</v>
      </c>
      <c r="N63" s="170"/>
      <c r="O63" s="1458"/>
      <c r="P63" s="1458"/>
      <c r="Q63" s="1458"/>
      <c r="R63" s="1458"/>
      <c r="S63" s="1458"/>
      <c r="T63" s="1458"/>
      <c r="U63" s="1458"/>
      <c r="V63" s="1458"/>
      <c r="W63" s="1458"/>
      <c r="X63" s="1458"/>
    </row>
    <row r="64" spans="1:24" ht="26.25" hidden="1" thickBot="1" x14ac:dyDescent="0.3">
      <c r="A64" s="1546"/>
      <c r="B64" s="1549"/>
      <c r="C64" s="1549"/>
      <c r="D64" s="1549"/>
      <c r="E64" s="173">
        <v>1</v>
      </c>
      <c r="F64" s="175">
        <v>2</v>
      </c>
      <c r="G64" s="176" t="s">
        <v>579</v>
      </c>
      <c r="H64" s="173">
        <v>4</v>
      </c>
      <c r="I64" s="175">
        <v>5</v>
      </c>
      <c r="J64" s="176">
        <v>6</v>
      </c>
      <c r="K64" s="174">
        <v>7</v>
      </c>
      <c r="L64" s="199">
        <v>8</v>
      </c>
      <c r="M64" s="176" t="s">
        <v>580</v>
      </c>
      <c r="N64" s="177"/>
      <c r="O64" s="170"/>
      <c r="P64" s="170"/>
      <c r="Q64" s="170"/>
      <c r="R64" s="170"/>
      <c r="S64" s="177"/>
      <c r="T64" s="177"/>
      <c r="U64" s="177"/>
      <c r="V64" s="177"/>
      <c r="W64" s="177"/>
      <c r="X64" s="177"/>
    </row>
    <row r="65" spans="1:24" ht="15" hidden="1" x14ac:dyDescent="0.25">
      <c r="A65" s="200">
        <v>1</v>
      </c>
      <c r="B65" s="1515" t="s">
        <v>458</v>
      </c>
      <c r="C65" s="1530" t="s">
        <v>834</v>
      </c>
      <c r="D65" s="201" t="s">
        <v>443</v>
      </c>
      <c r="E65" s="535">
        <v>416.56</v>
      </c>
      <c r="F65" s="528">
        <v>365453.527</v>
      </c>
      <c r="G65" s="202">
        <f t="shared" ref="G65:G74" si="10">IF(E65=0,0,F65/12/E65)</f>
        <v>73.109421411881442</v>
      </c>
      <c r="H65" s="535">
        <f t="shared" ref="H65:I70" si="11">SUM(K65-E65)</f>
        <v>92.930999999999983</v>
      </c>
      <c r="I65" s="528">
        <f t="shared" si="11"/>
        <v>99112.291000000027</v>
      </c>
      <c r="J65" s="401" t="s">
        <v>835</v>
      </c>
      <c r="K65" s="536">
        <v>509.49099999999999</v>
      </c>
      <c r="L65" s="537">
        <v>464565.81800000003</v>
      </c>
      <c r="M65" s="202">
        <f t="shared" ref="M65:M76" si="12">IF(K65=0,0,L65/12/K65)</f>
        <v>75.985283678547162</v>
      </c>
      <c r="N65" s="170"/>
      <c r="O65" s="170"/>
      <c r="P65" s="170"/>
      <c r="Q65" s="192"/>
      <c r="R65" s="170"/>
      <c r="S65" s="170"/>
      <c r="T65" s="170"/>
      <c r="U65" s="170"/>
      <c r="V65" s="170"/>
      <c r="W65" s="170"/>
      <c r="X65" s="170"/>
    </row>
    <row r="66" spans="1:24" ht="15" hidden="1" x14ac:dyDescent="0.25">
      <c r="A66" s="200">
        <v>2</v>
      </c>
      <c r="B66" s="1528"/>
      <c r="C66" s="1530"/>
      <c r="D66" s="201" t="s">
        <v>444</v>
      </c>
      <c r="E66" s="527">
        <v>692.39</v>
      </c>
      <c r="F66" s="528">
        <v>483842.11599999998</v>
      </c>
      <c r="G66" s="202">
        <f t="shared" si="10"/>
        <v>58.233331407636349</v>
      </c>
      <c r="H66" s="527">
        <f t="shared" si="11"/>
        <v>122.15300000000002</v>
      </c>
      <c r="I66" s="528">
        <f t="shared" si="11"/>
        <v>100007.84399999998</v>
      </c>
      <c r="J66" s="401" t="s">
        <v>835</v>
      </c>
      <c r="K66" s="538">
        <v>814.54300000000001</v>
      </c>
      <c r="L66" s="539">
        <v>583849.96</v>
      </c>
      <c r="M66" s="202">
        <f t="shared" si="12"/>
        <v>59.731853730660418</v>
      </c>
      <c r="N66" s="170"/>
      <c r="O66" s="170"/>
      <c r="P66" s="170"/>
      <c r="Q66" s="192"/>
      <c r="R66" s="170"/>
      <c r="S66" s="170"/>
      <c r="T66" s="170"/>
      <c r="U66" s="170"/>
      <c r="V66" s="170"/>
      <c r="W66" s="170"/>
      <c r="X66" s="170"/>
    </row>
    <row r="67" spans="1:24" ht="15" hidden="1" x14ac:dyDescent="0.25">
      <c r="A67" s="203">
        <v>3</v>
      </c>
      <c r="B67" s="1528"/>
      <c r="C67" s="1530"/>
      <c r="D67" s="204" t="s">
        <v>445</v>
      </c>
      <c r="E67" s="527">
        <v>1446.9559999999999</v>
      </c>
      <c r="F67" s="528">
        <v>331383.88400000002</v>
      </c>
      <c r="G67" s="205">
        <f t="shared" si="10"/>
        <v>19.085116386860879</v>
      </c>
      <c r="H67" s="527">
        <f t="shared" si="11"/>
        <v>228.39700000000016</v>
      </c>
      <c r="I67" s="528">
        <f t="shared" si="11"/>
        <v>504246.14999999997</v>
      </c>
      <c r="J67" s="402" t="s">
        <v>835</v>
      </c>
      <c r="K67" s="538">
        <v>1675.3530000000001</v>
      </c>
      <c r="L67" s="539">
        <v>835630.03399999999</v>
      </c>
      <c r="M67" s="205">
        <f t="shared" si="12"/>
        <v>41.564873890258745</v>
      </c>
      <c r="N67" s="170"/>
      <c r="O67" s="170"/>
      <c r="P67" s="170"/>
      <c r="Q67" s="192"/>
      <c r="R67" s="170"/>
      <c r="S67" s="170"/>
      <c r="T67" s="170"/>
      <c r="U67" s="170"/>
      <c r="V67" s="170"/>
      <c r="W67" s="170"/>
      <c r="X67" s="170"/>
    </row>
    <row r="68" spans="1:24" ht="15" hidden="1" x14ac:dyDescent="0.25">
      <c r="A68" s="203">
        <v>4</v>
      </c>
      <c r="B68" s="1528"/>
      <c r="C68" s="1530"/>
      <c r="D68" s="204" t="s">
        <v>446</v>
      </c>
      <c r="E68" s="527">
        <v>255.946</v>
      </c>
      <c r="F68" s="528">
        <v>113308.06200000001</v>
      </c>
      <c r="G68" s="205">
        <f t="shared" si="10"/>
        <v>36.891916654294263</v>
      </c>
      <c r="H68" s="527">
        <f t="shared" si="11"/>
        <v>41.27000000000001</v>
      </c>
      <c r="I68" s="528">
        <f t="shared" si="11"/>
        <v>0</v>
      </c>
      <c r="J68" s="402" t="s">
        <v>835</v>
      </c>
      <c r="K68" s="538">
        <v>297.21600000000001</v>
      </c>
      <c r="L68" s="539">
        <v>113308.06200000001</v>
      </c>
      <c r="M68" s="205">
        <f t="shared" si="12"/>
        <v>31.769280590546941</v>
      </c>
      <c r="N68" s="170"/>
      <c r="O68" s="170"/>
      <c r="P68" s="170"/>
      <c r="Q68" s="192"/>
      <c r="R68" s="170"/>
      <c r="S68" s="170"/>
      <c r="T68" s="170"/>
      <c r="U68" s="170"/>
      <c r="V68" s="170"/>
      <c r="W68" s="170"/>
      <c r="X68" s="170"/>
    </row>
    <row r="69" spans="1:24" ht="15" hidden="1" x14ac:dyDescent="0.25">
      <c r="A69" s="203">
        <v>5</v>
      </c>
      <c r="B69" s="1528"/>
      <c r="C69" s="1530"/>
      <c r="D69" s="204" t="s">
        <v>447</v>
      </c>
      <c r="E69" s="527">
        <v>310.18900000000002</v>
      </c>
      <c r="F69" s="528">
        <v>121033.583</v>
      </c>
      <c r="G69" s="205">
        <f t="shared" si="10"/>
        <v>32.516085085759542</v>
      </c>
      <c r="H69" s="527">
        <f t="shared" si="11"/>
        <v>66.250999999999976</v>
      </c>
      <c r="I69" s="528">
        <f t="shared" si="11"/>
        <v>40502.723000000013</v>
      </c>
      <c r="J69" s="402" t="s">
        <v>835</v>
      </c>
      <c r="K69" s="538">
        <v>376.44</v>
      </c>
      <c r="L69" s="539">
        <v>161536.30600000001</v>
      </c>
      <c r="M69" s="205">
        <f t="shared" si="12"/>
        <v>35.759639871781253</v>
      </c>
      <c r="N69" s="170"/>
      <c r="O69" s="170"/>
      <c r="P69" s="170"/>
      <c r="Q69" s="192"/>
      <c r="R69" s="170"/>
      <c r="S69" s="170"/>
      <c r="T69" s="170"/>
      <c r="U69" s="170"/>
      <c r="V69" s="170"/>
      <c r="W69" s="170"/>
      <c r="X69" s="170"/>
    </row>
    <row r="70" spans="1:24" ht="15" hidden="1" x14ac:dyDescent="0.25">
      <c r="A70" s="203">
        <v>6</v>
      </c>
      <c r="B70" s="1528"/>
      <c r="C70" s="1530"/>
      <c r="D70" s="204" t="s">
        <v>836</v>
      </c>
      <c r="E70" s="527">
        <v>119.221</v>
      </c>
      <c r="F70" s="528">
        <v>70138.002999999997</v>
      </c>
      <c r="G70" s="205">
        <f t="shared" si="10"/>
        <v>49.025201796104149</v>
      </c>
      <c r="H70" s="527">
        <f t="shared" si="11"/>
        <v>37.748999999999995</v>
      </c>
      <c r="I70" s="528">
        <f t="shared" si="11"/>
        <v>14767.709000000003</v>
      </c>
      <c r="J70" s="402" t="s">
        <v>835</v>
      </c>
      <c r="K70" s="538">
        <v>156.97</v>
      </c>
      <c r="L70" s="539">
        <v>84905.712</v>
      </c>
      <c r="M70" s="205">
        <f t="shared" si="12"/>
        <v>45.075339236796836</v>
      </c>
      <c r="N70" s="206"/>
      <c r="O70" s="170"/>
      <c r="P70" s="170"/>
      <c r="Q70" s="192"/>
      <c r="R70" s="170"/>
      <c r="S70" s="170"/>
      <c r="T70" s="170"/>
      <c r="U70" s="170"/>
      <c r="V70" s="170"/>
      <c r="W70" s="170"/>
      <c r="X70" s="170"/>
    </row>
    <row r="71" spans="1:24" ht="15" hidden="1" x14ac:dyDescent="0.25">
      <c r="A71" s="203">
        <v>7</v>
      </c>
      <c r="B71" s="1528"/>
      <c r="C71" s="1531"/>
      <c r="D71" s="224" t="s">
        <v>449</v>
      </c>
      <c r="E71" s="540">
        <f>SUM(E65:E70)</f>
        <v>3241.2619999999997</v>
      </c>
      <c r="F71" s="541">
        <f>SUM(F65:F70)</f>
        <v>1485159.175</v>
      </c>
      <c r="G71" s="225">
        <f t="shared" si="10"/>
        <v>38.183665678162811</v>
      </c>
      <c r="H71" s="540">
        <f>SUM(H65:H70)</f>
        <v>588.7510000000002</v>
      </c>
      <c r="I71" s="541">
        <f>SUM(I65:I70)</f>
        <v>758636.71699999995</v>
      </c>
      <c r="J71" s="403" t="s">
        <v>835</v>
      </c>
      <c r="K71" s="542">
        <f t="shared" ref="K71:L75" si="13">E71+H71</f>
        <v>3830.0129999999999</v>
      </c>
      <c r="L71" s="543">
        <f t="shared" si="13"/>
        <v>2243795.892</v>
      </c>
      <c r="M71" s="225">
        <f t="shared" si="12"/>
        <v>48.820458572856019</v>
      </c>
      <c r="N71" s="207"/>
      <c r="O71" s="170"/>
      <c r="P71" s="170"/>
      <c r="Q71" s="192"/>
      <c r="R71" s="170"/>
      <c r="S71" s="170"/>
      <c r="T71" s="170"/>
      <c r="U71" s="170"/>
      <c r="V71" s="170"/>
      <c r="W71" s="170"/>
      <c r="X71" s="170"/>
    </row>
    <row r="72" spans="1:24" ht="15" hidden="1" x14ac:dyDescent="0.25">
      <c r="A72" s="203">
        <v>8</v>
      </c>
      <c r="B72" s="1528"/>
      <c r="C72" s="1532" t="s">
        <v>837</v>
      </c>
      <c r="D72" s="1520"/>
      <c r="E72" s="527">
        <v>369.55599999999998</v>
      </c>
      <c r="F72" s="528">
        <v>181632.17800000001</v>
      </c>
      <c r="G72" s="205">
        <f t="shared" si="10"/>
        <v>40.957296954543658</v>
      </c>
      <c r="H72" s="527">
        <f>SUM(K72-E72)</f>
        <v>517.51700000000005</v>
      </c>
      <c r="I72" s="528">
        <f>SUM(L72-F72)</f>
        <v>233200.77999999997</v>
      </c>
      <c r="J72" s="402" t="s">
        <v>835</v>
      </c>
      <c r="K72" s="538">
        <v>887.07299999999998</v>
      </c>
      <c r="L72" s="539">
        <v>414832.95799999998</v>
      </c>
      <c r="M72" s="205">
        <f t="shared" si="12"/>
        <v>38.970201061994523</v>
      </c>
      <c r="N72" s="207"/>
      <c r="O72" s="170"/>
      <c r="P72" s="170"/>
      <c r="Q72" s="192"/>
      <c r="R72" s="170"/>
      <c r="S72" s="170"/>
      <c r="T72" s="170"/>
      <c r="U72" s="170"/>
      <c r="V72" s="170"/>
      <c r="W72" s="170"/>
      <c r="X72" s="170"/>
    </row>
    <row r="73" spans="1:24" ht="15" hidden="1" x14ac:dyDescent="0.25">
      <c r="A73" s="203">
        <v>9</v>
      </c>
      <c r="B73" s="1529"/>
      <c r="C73" s="1533" t="s">
        <v>838</v>
      </c>
      <c r="D73" s="1534"/>
      <c r="E73" s="527">
        <v>2464.4140000000002</v>
      </c>
      <c r="F73" s="528">
        <v>855211.30799999996</v>
      </c>
      <c r="G73" s="205">
        <f t="shared" si="10"/>
        <v>28.91868371142186</v>
      </c>
      <c r="H73" s="527">
        <v>549.28899999999999</v>
      </c>
      <c r="I73" s="528">
        <v>215963.35200000001</v>
      </c>
      <c r="J73" s="402" t="s">
        <v>835</v>
      </c>
      <c r="K73" s="538">
        <v>3013.703</v>
      </c>
      <c r="L73" s="539">
        <v>1071174.6599999999</v>
      </c>
      <c r="M73" s="205">
        <f t="shared" si="12"/>
        <v>29.61955939254797</v>
      </c>
      <c r="N73" s="170"/>
      <c r="O73" s="170"/>
      <c r="P73" s="170"/>
      <c r="Q73" s="192"/>
      <c r="R73" s="170"/>
      <c r="S73" s="170"/>
      <c r="T73" s="170"/>
      <c r="U73" s="170"/>
      <c r="V73" s="170"/>
      <c r="W73" s="170"/>
      <c r="X73" s="170"/>
    </row>
    <row r="74" spans="1:24" ht="15" hidden="1" x14ac:dyDescent="0.25">
      <c r="A74" s="203">
        <v>10</v>
      </c>
      <c r="B74" s="1520" t="s">
        <v>369</v>
      </c>
      <c r="C74" s="1520"/>
      <c r="D74" s="1520"/>
      <c r="E74" s="527">
        <v>406.44799999999998</v>
      </c>
      <c r="F74" s="528">
        <v>105180.916</v>
      </c>
      <c r="G74" s="205">
        <f t="shared" si="10"/>
        <v>21.565062033355641</v>
      </c>
      <c r="H74" s="527">
        <v>24.957000000000001</v>
      </c>
      <c r="I74" s="528">
        <v>10429.762000000001</v>
      </c>
      <c r="J74" s="402" t="s">
        <v>835</v>
      </c>
      <c r="K74" s="538">
        <v>431.40300000000002</v>
      </c>
      <c r="L74" s="539">
        <f t="shared" si="13"/>
        <v>115610.678</v>
      </c>
      <c r="M74" s="205">
        <f t="shared" si="12"/>
        <v>22.332304519594594</v>
      </c>
      <c r="N74" s="170"/>
      <c r="V74" s="170"/>
      <c r="W74" s="170"/>
      <c r="X74" s="170"/>
    </row>
    <row r="75" spans="1:24" ht="15.75" hidden="1" thickBot="1" x14ac:dyDescent="0.3">
      <c r="A75" s="208">
        <v>11</v>
      </c>
      <c r="B75" s="1521" t="s">
        <v>457</v>
      </c>
      <c r="C75" s="1521"/>
      <c r="D75" s="1521"/>
      <c r="E75" s="532">
        <v>0</v>
      </c>
      <c r="F75" s="533">
        <v>0</v>
      </c>
      <c r="G75" s="544" t="s">
        <v>835</v>
      </c>
      <c r="H75" s="532">
        <v>0</v>
      </c>
      <c r="I75" s="533">
        <v>0</v>
      </c>
      <c r="J75" s="404" t="s">
        <v>835</v>
      </c>
      <c r="K75" s="545">
        <f t="shared" si="13"/>
        <v>0</v>
      </c>
      <c r="L75" s="546">
        <f t="shared" si="13"/>
        <v>0</v>
      </c>
      <c r="M75" s="544" t="s">
        <v>835</v>
      </c>
      <c r="N75" s="170"/>
      <c r="V75" s="170"/>
      <c r="W75" s="170"/>
      <c r="X75" s="170"/>
    </row>
    <row r="76" spans="1:24" ht="15.75" hidden="1" thickBot="1" x14ac:dyDescent="0.3">
      <c r="A76" s="209">
        <v>12</v>
      </c>
      <c r="B76" s="1522" t="s">
        <v>449</v>
      </c>
      <c r="C76" s="1522"/>
      <c r="D76" s="1522"/>
      <c r="E76" s="210">
        <f>E71+E72+E73+E74+E75</f>
        <v>6481.68</v>
      </c>
      <c r="F76" s="211">
        <f>F71+F72+F73+F74+F75</f>
        <v>2627183.5770000005</v>
      </c>
      <c r="G76" s="384">
        <f>IF(E76=0,0,F76/12/E76)</f>
        <v>33.777040018945712</v>
      </c>
      <c r="H76" s="210">
        <f>H71+H72+H73+H74+H75</f>
        <v>1680.5140000000004</v>
      </c>
      <c r="I76" s="211">
        <f>I71+I72+I73+I74+I75</f>
        <v>1218230.611</v>
      </c>
      <c r="J76" s="405" t="s">
        <v>835</v>
      </c>
      <c r="K76" s="212">
        <f>K71+K72+K73+K74+K75</f>
        <v>8162.1920000000009</v>
      </c>
      <c r="L76" s="211">
        <f>L71+L72+L73+L74+L75</f>
        <v>3845414.1879999996</v>
      </c>
      <c r="M76" s="213">
        <f t="shared" si="12"/>
        <v>39.260431797406049</v>
      </c>
      <c r="N76" s="170"/>
      <c r="O76" s="191"/>
      <c r="P76" s="191"/>
      <c r="Q76" s="191"/>
      <c r="R76" s="191"/>
      <c r="S76" s="191"/>
      <c r="T76" s="191"/>
      <c r="U76" s="191"/>
      <c r="V76" s="190"/>
      <c r="W76" s="190"/>
      <c r="X76" s="190"/>
    </row>
    <row r="77" spans="1:24" hidden="1" x14ac:dyDescent="0.25"/>
    <row r="78" spans="1:24" hidden="1" x14ac:dyDescent="0.25"/>
    <row r="79" spans="1:24" ht="21.75" hidden="1" thickBot="1" x14ac:dyDescent="0.3">
      <c r="A79" s="1562" t="s">
        <v>1001</v>
      </c>
      <c r="B79" s="1562"/>
      <c r="C79" s="1562"/>
      <c r="D79" s="1562"/>
    </row>
    <row r="80" spans="1:24" ht="15.75" hidden="1" x14ac:dyDescent="0.25">
      <c r="A80" s="1563" t="s">
        <v>341</v>
      </c>
      <c r="B80" s="1566" t="s">
        <v>368</v>
      </c>
      <c r="C80" s="1567"/>
      <c r="D80" s="1568"/>
      <c r="E80" s="1575" t="s">
        <v>466</v>
      </c>
      <c r="F80" s="1576"/>
      <c r="G80" s="1576"/>
      <c r="H80" s="1576"/>
      <c r="I80" s="1576"/>
      <c r="J80" s="1576"/>
      <c r="K80" s="1576"/>
      <c r="L80" s="1576"/>
      <c r="M80" s="1576"/>
      <c r="N80" s="1576"/>
      <c r="O80" s="1576"/>
      <c r="P80" s="1576"/>
      <c r="Q80" s="1576"/>
      <c r="R80" s="1576"/>
      <c r="S80" s="1576"/>
      <c r="T80" s="1576"/>
      <c r="U80" s="1576"/>
      <c r="V80" s="1576"/>
      <c r="W80" s="1576"/>
      <c r="X80" s="1577"/>
    </row>
    <row r="81" spans="1:24" hidden="1" x14ac:dyDescent="0.25">
      <c r="A81" s="1564"/>
      <c r="B81" s="1569"/>
      <c r="C81" s="1570"/>
      <c r="D81" s="1571"/>
      <c r="E81" s="1578" t="s">
        <v>456</v>
      </c>
      <c r="F81" s="1579"/>
      <c r="G81" s="1579"/>
      <c r="H81" s="1580"/>
      <c r="I81" s="1578" t="s">
        <v>460</v>
      </c>
      <c r="J81" s="1579"/>
      <c r="K81" s="1579"/>
      <c r="L81" s="1580"/>
      <c r="M81" s="1578" t="s">
        <v>452</v>
      </c>
      <c r="N81" s="1579"/>
      <c r="O81" s="1579"/>
      <c r="P81" s="1580"/>
      <c r="Q81" s="1581" t="s">
        <v>450</v>
      </c>
      <c r="R81" s="1582"/>
      <c r="S81" s="1581" t="s">
        <v>361</v>
      </c>
      <c r="T81" s="1582"/>
      <c r="U81" s="1581" t="s">
        <v>453</v>
      </c>
      <c r="V81" s="1582"/>
      <c r="W81" s="1583" t="s">
        <v>449</v>
      </c>
      <c r="X81" s="1584"/>
    </row>
    <row r="82" spans="1:24" hidden="1" x14ac:dyDescent="0.25">
      <c r="A82" s="1564"/>
      <c r="B82" s="1569"/>
      <c r="C82" s="1570"/>
      <c r="D82" s="1571"/>
      <c r="E82" s="1551" t="s">
        <v>451</v>
      </c>
      <c r="F82" s="1552"/>
      <c r="G82" s="1553" t="s">
        <v>459</v>
      </c>
      <c r="H82" s="1554"/>
      <c r="I82" s="1551" t="s">
        <v>830</v>
      </c>
      <c r="J82" s="1552"/>
      <c r="K82" s="1553" t="s">
        <v>461</v>
      </c>
      <c r="L82" s="1554"/>
      <c r="M82" s="1551" t="s">
        <v>898</v>
      </c>
      <c r="N82" s="1552"/>
      <c r="O82" s="1553" t="s">
        <v>462</v>
      </c>
      <c r="P82" s="1554"/>
      <c r="Q82" s="1578"/>
      <c r="R82" s="1580"/>
      <c r="S82" s="1578"/>
      <c r="T82" s="1580"/>
      <c r="U82" s="1578"/>
      <c r="V82" s="1580"/>
      <c r="W82" s="1585"/>
      <c r="X82" s="1586"/>
    </row>
    <row r="83" spans="1:24" hidden="1" x14ac:dyDescent="0.25">
      <c r="A83" s="1564"/>
      <c r="B83" s="1569"/>
      <c r="C83" s="1570"/>
      <c r="D83" s="1571"/>
      <c r="E83" s="196" t="s">
        <v>367</v>
      </c>
      <c r="F83" s="172" t="s">
        <v>549</v>
      </c>
      <c r="G83" s="197" t="s">
        <v>367</v>
      </c>
      <c r="H83" s="198" t="s">
        <v>549</v>
      </c>
      <c r="I83" s="196" t="s">
        <v>367</v>
      </c>
      <c r="J83" s="197" t="s">
        <v>549</v>
      </c>
      <c r="K83" s="197" t="s">
        <v>367</v>
      </c>
      <c r="L83" s="198" t="s">
        <v>549</v>
      </c>
      <c r="M83" s="196" t="s">
        <v>367</v>
      </c>
      <c r="N83" s="197" t="s">
        <v>549</v>
      </c>
      <c r="O83" s="197" t="s">
        <v>367</v>
      </c>
      <c r="P83" s="198" t="s">
        <v>549</v>
      </c>
      <c r="Q83" s="196" t="s">
        <v>367</v>
      </c>
      <c r="R83" s="198" t="s">
        <v>549</v>
      </c>
      <c r="S83" s="196" t="s">
        <v>367</v>
      </c>
      <c r="T83" s="198" t="s">
        <v>549</v>
      </c>
      <c r="U83" s="196" t="s">
        <v>367</v>
      </c>
      <c r="V83" s="198" t="s">
        <v>549</v>
      </c>
      <c r="W83" s="507" t="s">
        <v>831</v>
      </c>
      <c r="X83" s="508" t="s">
        <v>549</v>
      </c>
    </row>
    <row r="84" spans="1:24" ht="13.5" hidden="1" thickBot="1" x14ac:dyDescent="0.3">
      <c r="A84" s="1565"/>
      <c r="B84" s="1572"/>
      <c r="C84" s="1573"/>
      <c r="D84" s="1574"/>
      <c r="E84" s="350">
        <v>1</v>
      </c>
      <c r="F84" s="351">
        <f>E84+1</f>
        <v>2</v>
      </c>
      <c r="G84" s="150">
        <f t="shared" ref="G84:X84" si="14">F84+1</f>
        <v>3</v>
      </c>
      <c r="H84" s="151">
        <f t="shared" si="14"/>
        <v>4</v>
      </c>
      <c r="I84" s="351">
        <f t="shared" si="14"/>
        <v>5</v>
      </c>
      <c r="J84" s="150">
        <f t="shared" si="14"/>
        <v>6</v>
      </c>
      <c r="K84" s="150">
        <f t="shared" si="14"/>
        <v>7</v>
      </c>
      <c r="L84" s="352">
        <f t="shared" si="14"/>
        <v>8</v>
      </c>
      <c r="M84" s="350">
        <f t="shared" si="14"/>
        <v>9</v>
      </c>
      <c r="N84" s="150">
        <f t="shared" si="14"/>
        <v>10</v>
      </c>
      <c r="O84" s="150">
        <f t="shared" si="14"/>
        <v>11</v>
      </c>
      <c r="P84" s="151">
        <f t="shared" si="14"/>
        <v>12</v>
      </c>
      <c r="Q84" s="350">
        <f t="shared" si="14"/>
        <v>13</v>
      </c>
      <c r="R84" s="151">
        <f t="shared" si="14"/>
        <v>14</v>
      </c>
      <c r="S84" s="351">
        <f t="shared" si="14"/>
        <v>15</v>
      </c>
      <c r="T84" s="352">
        <f t="shared" si="14"/>
        <v>16</v>
      </c>
      <c r="U84" s="350">
        <f t="shared" si="14"/>
        <v>17</v>
      </c>
      <c r="V84" s="151">
        <f t="shared" si="14"/>
        <v>18</v>
      </c>
      <c r="W84" s="353">
        <f t="shared" si="14"/>
        <v>19</v>
      </c>
      <c r="X84" s="354">
        <f t="shared" si="14"/>
        <v>20</v>
      </c>
    </row>
    <row r="85" spans="1:24" ht="15" hidden="1" x14ac:dyDescent="0.25">
      <c r="A85" s="178">
        <v>1</v>
      </c>
      <c r="B85" s="1529" t="s">
        <v>458</v>
      </c>
      <c r="C85" s="1556" t="s">
        <v>448</v>
      </c>
      <c r="D85" s="1557"/>
      <c r="E85" s="522">
        <f>E10-E53</f>
        <v>528311.69900000002</v>
      </c>
      <c r="F85" s="523">
        <f t="shared" ref="F85:X85" si="15">F10-F53</f>
        <v>12092.243000000006</v>
      </c>
      <c r="G85" s="523">
        <f t="shared" si="15"/>
        <v>415185.04900000006</v>
      </c>
      <c r="H85" s="524">
        <f t="shared" si="15"/>
        <v>3947.0789999999997</v>
      </c>
      <c r="I85" s="525">
        <f t="shared" si="15"/>
        <v>107305.40100000001</v>
      </c>
      <c r="J85" s="523">
        <f t="shared" si="15"/>
        <v>280.41099999999915</v>
      </c>
      <c r="K85" s="523">
        <f t="shared" si="15"/>
        <v>12082.246999999998</v>
      </c>
      <c r="L85" s="526">
        <f t="shared" si="15"/>
        <v>138.93299999999999</v>
      </c>
      <c r="M85" s="522">
        <f t="shared" si="15"/>
        <v>906.00200000000041</v>
      </c>
      <c r="N85" s="523">
        <f t="shared" si="15"/>
        <v>-4386.4449999999997</v>
      </c>
      <c r="O85" s="523">
        <f t="shared" si="15"/>
        <v>7016.7079999999987</v>
      </c>
      <c r="P85" s="524">
        <f t="shared" si="15"/>
        <v>604.11500000000001</v>
      </c>
      <c r="Q85" s="522">
        <f t="shared" si="15"/>
        <v>0</v>
      </c>
      <c r="R85" s="524">
        <f t="shared" si="15"/>
        <v>0</v>
      </c>
      <c r="S85" s="525">
        <f t="shared" si="15"/>
        <v>2617.8929999999964</v>
      </c>
      <c r="T85" s="526">
        <f t="shared" si="15"/>
        <v>-1752.8359999999998</v>
      </c>
      <c r="U85" s="522">
        <f t="shared" si="15"/>
        <v>149470.55550563353</v>
      </c>
      <c r="V85" s="524">
        <f t="shared" si="15"/>
        <v>-15453.025335323815</v>
      </c>
      <c r="W85" s="509">
        <f t="shared" si="15"/>
        <v>1222895.5545056337</v>
      </c>
      <c r="X85" s="510">
        <f t="shared" si="15"/>
        <v>-4529.5253353238222</v>
      </c>
    </row>
    <row r="86" spans="1:24" ht="15" hidden="1" x14ac:dyDescent="0.25">
      <c r="A86" s="178">
        <v>2</v>
      </c>
      <c r="B86" s="1555"/>
      <c r="C86" s="1558" t="s">
        <v>370</v>
      </c>
      <c r="D86" s="1559"/>
      <c r="E86" s="527">
        <f t="shared" ref="E86:X90" si="16">E11-E54</f>
        <v>40023.082000000024</v>
      </c>
      <c r="F86" s="528">
        <f t="shared" si="16"/>
        <v>-2164.7870000000003</v>
      </c>
      <c r="G86" s="528">
        <f t="shared" si="16"/>
        <v>74293.410999999964</v>
      </c>
      <c r="H86" s="529">
        <f t="shared" si="16"/>
        <v>3817.6479999999983</v>
      </c>
      <c r="I86" s="530">
        <f t="shared" si="16"/>
        <v>138957.82900000006</v>
      </c>
      <c r="J86" s="528">
        <f t="shared" si="16"/>
        <v>6901.0140000000047</v>
      </c>
      <c r="K86" s="528">
        <f t="shared" si="16"/>
        <v>7636.3270000000011</v>
      </c>
      <c r="L86" s="531">
        <f t="shared" si="16"/>
        <v>591.66200000000003</v>
      </c>
      <c r="M86" s="527">
        <f t="shared" si="16"/>
        <v>457.89599999999973</v>
      </c>
      <c r="N86" s="528">
        <f t="shared" si="16"/>
        <v>814.96799999999985</v>
      </c>
      <c r="O86" s="528">
        <f t="shared" si="16"/>
        <v>21807.139000000003</v>
      </c>
      <c r="P86" s="529">
        <f t="shared" si="16"/>
        <v>365.024</v>
      </c>
      <c r="Q86" s="527">
        <f t="shared" si="16"/>
        <v>0</v>
      </c>
      <c r="R86" s="529">
        <f t="shared" si="16"/>
        <v>0</v>
      </c>
      <c r="S86" s="530">
        <f t="shared" si="16"/>
        <v>1562.0070000000003</v>
      </c>
      <c r="T86" s="531">
        <f t="shared" si="16"/>
        <v>409.19000000000005</v>
      </c>
      <c r="U86" s="527">
        <f t="shared" si="16"/>
        <v>27998.300827630123</v>
      </c>
      <c r="V86" s="529">
        <f t="shared" si="16"/>
        <v>759.36775319851313</v>
      </c>
      <c r="W86" s="511">
        <f t="shared" si="16"/>
        <v>312735.99182763021</v>
      </c>
      <c r="X86" s="512">
        <f t="shared" si="16"/>
        <v>11494.086753198528</v>
      </c>
    </row>
    <row r="87" spans="1:24" ht="15" hidden="1" x14ac:dyDescent="0.25">
      <c r="A87" s="179">
        <v>3</v>
      </c>
      <c r="B87" s="1555"/>
      <c r="C87" s="1560" t="s">
        <v>345</v>
      </c>
      <c r="D87" s="1561"/>
      <c r="E87" s="527">
        <f t="shared" si="16"/>
        <v>467904.71400000004</v>
      </c>
      <c r="F87" s="528">
        <f t="shared" si="16"/>
        <v>-489.12100000002829</v>
      </c>
      <c r="G87" s="528">
        <f t="shared" si="16"/>
        <v>171480.88399999999</v>
      </c>
      <c r="H87" s="529">
        <f t="shared" si="16"/>
        <v>-6007.9480000000003</v>
      </c>
      <c r="I87" s="530">
        <f t="shared" si="16"/>
        <v>47603.112999999968</v>
      </c>
      <c r="J87" s="528">
        <f t="shared" si="16"/>
        <v>-7895.8840000000055</v>
      </c>
      <c r="K87" s="528">
        <f t="shared" si="16"/>
        <v>5882.0909999999994</v>
      </c>
      <c r="L87" s="531">
        <f t="shared" si="16"/>
        <v>-739.22199999999998</v>
      </c>
      <c r="M87" s="527">
        <f t="shared" si="16"/>
        <v>4722.0150000000012</v>
      </c>
      <c r="N87" s="528">
        <f t="shared" si="16"/>
        <v>-6312.639000000001</v>
      </c>
      <c r="O87" s="528">
        <f t="shared" si="16"/>
        <v>16448.618000000002</v>
      </c>
      <c r="P87" s="529">
        <f t="shared" si="16"/>
        <v>-1595.2719999999999</v>
      </c>
      <c r="Q87" s="527">
        <f t="shared" si="16"/>
        <v>-199.5</v>
      </c>
      <c r="R87" s="529">
        <f t="shared" si="16"/>
        <v>0</v>
      </c>
      <c r="S87" s="530">
        <f t="shared" si="16"/>
        <v>6958.6499999999978</v>
      </c>
      <c r="T87" s="531">
        <f t="shared" si="16"/>
        <v>3358.5799999999963</v>
      </c>
      <c r="U87" s="527">
        <f t="shared" si="16"/>
        <v>145605.25766673614</v>
      </c>
      <c r="V87" s="529">
        <f t="shared" si="16"/>
        <v>18335.558582125293</v>
      </c>
      <c r="W87" s="511">
        <f t="shared" si="16"/>
        <v>866405.84266673657</v>
      </c>
      <c r="X87" s="512">
        <f t="shared" si="16"/>
        <v>-1345.9474178747623</v>
      </c>
    </row>
    <row r="88" spans="1:24" ht="15" hidden="1" x14ac:dyDescent="0.25">
      <c r="A88" s="179">
        <v>4</v>
      </c>
      <c r="B88" s="1535" t="s">
        <v>369</v>
      </c>
      <c r="C88" s="1536"/>
      <c r="D88" s="1537"/>
      <c r="E88" s="527">
        <f t="shared" si="16"/>
        <v>52861.366999999998</v>
      </c>
      <c r="F88" s="528">
        <f t="shared" si="16"/>
        <v>1990.3830000000003</v>
      </c>
      <c r="G88" s="528">
        <f t="shared" si="16"/>
        <v>0</v>
      </c>
      <c r="H88" s="529">
        <f t="shared" si="16"/>
        <v>0</v>
      </c>
      <c r="I88" s="530">
        <f t="shared" si="16"/>
        <v>0</v>
      </c>
      <c r="J88" s="528">
        <f t="shared" si="16"/>
        <v>0</v>
      </c>
      <c r="K88" s="528">
        <f t="shared" si="16"/>
        <v>0</v>
      </c>
      <c r="L88" s="531">
        <f t="shared" si="16"/>
        <v>0</v>
      </c>
      <c r="M88" s="527">
        <f t="shared" si="16"/>
        <v>0</v>
      </c>
      <c r="N88" s="528">
        <f t="shared" si="16"/>
        <v>0</v>
      </c>
      <c r="O88" s="528">
        <f t="shared" si="16"/>
        <v>0</v>
      </c>
      <c r="P88" s="529">
        <f t="shared" si="16"/>
        <v>0</v>
      </c>
      <c r="Q88" s="527">
        <f t="shared" si="16"/>
        <v>0</v>
      </c>
      <c r="R88" s="529">
        <f t="shared" si="16"/>
        <v>0</v>
      </c>
      <c r="S88" s="530">
        <f t="shared" si="16"/>
        <v>20833.772000000001</v>
      </c>
      <c r="T88" s="531">
        <f t="shared" si="16"/>
        <v>928.71100000000001</v>
      </c>
      <c r="U88" s="527">
        <f t="shared" si="16"/>
        <v>-2127.5720000000001</v>
      </c>
      <c r="V88" s="529">
        <f t="shared" si="16"/>
        <v>-33</v>
      </c>
      <c r="W88" s="511">
        <f t="shared" si="16"/>
        <v>71567.56700000001</v>
      </c>
      <c r="X88" s="512">
        <f t="shared" si="16"/>
        <v>2886.094000000001</v>
      </c>
    </row>
    <row r="89" spans="1:24" ht="15.75" hidden="1" thickBot="1" x14ac:dyDescent="0.3">
      <c r="A89" s="180">
        <v>5</v>
      </c>
      <c r="B89" s="1538" t="s">
        <v>457</v>
      </c>
      <c r="C89" s="1539"/>
      <c r="D89" s="1540"/>
      <c r="E89" s="532">
        <f t="shared" si="16"/>
        <v>0</v>
      </c>
      <c r="F89" s="533">
        <f t="shared" si="16"/>
        <v>0</v>
      </c>
      <c r="G89" s="533">
        <f t="shared" si="16"/>
        <v>0</v>
      </c>
      <c r="H89" s="534">
        <f t="shared" si="16"/>
        <v>0</v>
      </c>
      <c r="I89" s="530">
        <f t="shared" si="16"/>
        <v>0</v>
      </c>
      <c r="J89" s="528">
        <f t="shared" si="16"/>
        <v>0</v>
      </c>
      <c r="K89" s="528">
        <f t="shared" si="16"/>
        <v>0</v>
      </c>
      <c r="L89" s="531">
        <f t="shared" si="16"/>
        <v>0</v>
      </c>
      <c r="M89" s="532">
        <f t="shared" si="16"/>
        <v>0</v>
      </c>
      <c r="N89" s="533">
        <f t="shared" si="16"/>
        <v>0</v>
      </c>
      <c r="O89" s="533">
        <f t="shared" si="16"/>
        <v>0</v>
      </c>
      <c r="P89" s="534">
        <f t="shared" si="16"/>
        <v>0</v>
      </c>
      <c r="Q89" s="532">
        <f t="shared" si="16"/>
        <v>0</v>
      </c>
      <c r="R89" s="534">
        <f t="shared" si="16"/>
        <v>0</v>
      </c>
      <c r="S89" s="530">
        <f t="shared" si="16"/>
        <v>0</v>
      </c>
      <c r="T89" s="531">
        <f t="shared" si="16"/>
        <v>0</v>
      </c>
      <c r="U89" s="532">
        <f t="shared" si="16"/>
        <v>0</v>
      </c>
      <c r="V89" s="534">
        <f t="shared" si="16"/>
        <v>0</v>
      </c>
      <c r="W89" s="513">
        <f t="shared" si="16"/>
        <v>0</v>
      </c>
      <c r="X89" s="514">
        <f t="shared" si="16"/>
        <v>0</v>
      </c>
    </row>
    <row r="90" spans="1:24" ht="15.75" hidden="1" thickBot="1" x14ac:dyDescent="0.3">
      <c r="A90" s="181">
        <v>6</v>
      </c>
      <c r="B90" s="1541" t="s">
        <v>449</v>
      </c>
      <c r="C90" s="1542"/>
      <c r="D90" s="1543"/>
      <c r="E90" s="182">
        <f t="shared" si="16"/>
        <v>1089100.8620000002</v>
      </c>
      <c r="F90" s="183">
        <f t="shared" si="16"/>
        <v>11428.717999999964</v>
      </c>
      <c r="G90" s="184">
        <f t="shared" si="16"/>
        <v>660959.34400000004</v>
      </c>
      <c r="H90" s="185">
        <f t="shared" si="16"/>
        <v>1756.7790000000023</v>
      </c>
      <c r="I90" s="182">
        <f t="shared" si="16"/>
        <v>293866.34300000005</v>
      </c>
      <c r="J90" s="184">
        <f t="shared" si="16"/>
        <v>-714.45900000000256</v>
      </c>
      <c r="K90" s="184">
        <f t="shared" si="16"/>
        <v>25600.665000000001</v>
      </c>
      <c r="L90" s="185">
        <f t="shared" si="16"/>
        <v>-8.6269999999999527</v>
      </c>
      <c r="M90" s="182">
        <f t="shared" si="16"/>
        <v>6085.9130000000005</v>
      </c>
      <c r="N90" s="184">
        <f t="shared" si="16"/>
        <v>-9884.1160000000018</v>
      </c>
      <c r="O90" s="184">
        <f t="shared" si="16"/>
        <v>45272.465000000004</v>
      </c>
      <c r="P90" s="185">
        <f t="shared" si="16"/>
        <v>-626.13300000000027</v>
      </c>
      <c r="Q90" s="186">
        <f t="shared" si="16"/>
        <v>-199.5</v>
      </c>
      <c r="R90" s="187">
        <f t="shared" si="16"/>
        <v>0</v>
      </c>
      <c r="S90" s="186">
        <f t="shared" si="16"/>
        <v>31972.322</v>
      </c>
      <c r="T90" s="187">
        <f t="shared" si="16"/>
        <v>2943.644999999995</v>
      </c>
      <c r="U90" s="188">
        <f t="shared" si="16"/>
        <v>320946.54199999984</v>
      </c>
      <c r="V90" s="189">
        <f t="shared" si="16"/>
        <v>3608.9009999999907</v>
      </c>
      <c r="W90" s="216">
        <f t="shared" si="16"/>
        <v>2473604.9560000007</v>
      </c>
      <c r="X90" s="217">
        <f t="shared" si="16"/>
        <v>8504.707999999926</v>
      </c>
    </row>
    <row r="91" spans="1:24" ht="15" hidden="1" x14ac:dyDescent="0.25">
      <c r="A91" s="170"/>
      <c r="B91" s="170"/>
      <c r="C91" s="170"/>
      <c r="D91" s="170"/>
      <c r="E91" s="170"/>
      <c r="F91" s="170"/>
      <c r="G91" s="170"/>
      <c r="H91" s="170"/>
      <c r="I91" s="170"/>
      <c r="J91" s="170"/>
      <c r="K91" s="170"/>
      <c r="L91" s="170"/>
      <c r="M91" s="170"/>
      <c r="N91" s="170"/>
      <c r="O91" s="170"/>
      <c r="P91" s="170"/>
      <c r="Q91" s="170"/>
      <c r="R91" s="170"/>
      <c r="S91" s="170"/>
      <c r="T91" s="170"/>
      <c r="U91" s="170"/>
      <c r="V91" s="170"/>
      <c r="W91" s="170"/>
      <c r="X91" s="170"/>
    </row>
    <row r="92" spans="1:24" ht="23.25" hidden="1" x14ac:dyDescent="0.25">
      <c r="A92" s="105" t="s">
        <v>852</v>
      </c>
      <c r="B92" s="193"/>
      <c r="C92" s="193"/>
      <c r="D92" s="193"/>
      <c r="E92" s="193"/>
      <c r="F92" s="193"/>
      <c r="G92" s="193"/>
      <c r="H92" s="193"/>
      <c r="I92" s="193"/>
      <c r="J92" s="193"/>
      <c r="K92" s="193"/>
      <c r="L92" s="193"/>
      <c r="M92" s="339" t="s">
        <v>901</v>
      </c>
      <c r="N92" s="193"/>
      <c r="O92" s="193"/>
      <c r="P92" s="193"/>
      <c r="Q92" s="193"/>
      <c r="R92" s="193"/>
      <c r="S92" s="193"/>
    </row>
    <row r="93" spans="1:24" ht="15.75" hidden="1" thickBot="1" x14ac:dyDescent="0.3">
      <c r="A93" s="195"/>
      <c r="B93" s="193"/>
      <c r="C93" s="193"/>
      <c r="D93" s="193"/>
      <c r="E93" s="193"/>
      <c r="F93" s="193"/>
      <c r="G93" s="193"/>
      <c r="H93" s="193"/>
      <c r="I93" s="193"/>
      <c r="J93" s="193"/>
      <c r="K93" s="193"/>
      <c r="L93" s="193"/>
      <c r="M93" s="194"/>
      <c r="N93" s="170"/>
      <c r="O93" s="170"/>
      <c r="P93" s="170"/>
      <c r="Q93" s="170"/>
      <c r="R93" s="170"/>
      <c r="S93" s="170"/>
      <c r="T93" s="170"/>
    </row>
    <row r="94" spans="1:24" ht="15" hidden="1" x14ac:dyDescent="0.25">
      <c r="A94" s="1544" t="s">
        <v>341</v>
      </c>
      <c r="B94" s="1547" t="s">
        <v>368</v>
      </c>
      <c r="C94" s="1547"/>
      <c r="D94" s="1547"/>
      <c r="E94" s="1550" t="s">
        <v>463</v>
      </c>
      <c r="F94" s="1526"/>
      <c r="G94" s="1527"/>
      <c r="H94" s="1523" t="s">
        <v>465</v>
      </c>
      <c r="I94" s="1524"/>
      <c r="J94" s="1525"/>
      <c r="K94" s="1526" t="s">
        <v>449</v>
      </c>
      <c r="L94" s="1526"/>
      <c r="M94" s="1527"/>
      <c r="N94" s="170"/>
      <c r="O94" s="1458" t="s">
        <v>832</v>
      </c>
      <c r="P94" s="1458"/>
      <c r="Q94" s="1458"/>
      <c r="R94" s="1458"/>
      <c r="S94" s="1458"/>
      <c r="T94" s="1458"/>
      <c r="U94" s="1458"/>
      <c r="V94" s="1458"/>
      <c r="W94" s="1458"/>
      <c r="X94" s="1458"/>
    </row>
    <row r="95" spans="1:24" ht="38.25" hidden="1" x14ac:dyDescent="0.25">
      <c r="A95" s="1545"/>
      <c r="B95" s="1548"/>
      <c r="C95" s="1548"/>
      <c r="D95" s="1548"/>
      <c r="E95" s="196" t="s">
        <v>833</v>
      </c>
      <c r="F95" s="197" t="s">
        <v>464</v>
      </c>
      <c r="G95" s="198" t="s">
        <v>455</v>
      </c>
      <c r="H95" s="196" t="s">
        <v>454</v>
      </c>
      <c r="I95" s="197" t="s">
        <v>464</v>
      </c>
      <c r="J95" s="198" t="s">
        <v>455</v>
      </c>
      <c r="K95" s="172" t="s">
        <v>454</v>
      </c>
      <c r="L95" s="9" t="s">
        <v>464</v>
      </c>
      <c r="M95" s="198" t="s">
        <v>455</v>
      </c>
      <c r="N95" s="170"/>
      <c r="O95" s="1458"/>
      <c r="P95" s="1458"/>
      <c r="Q95" s="1458"/>
      <c r="R95" s="1458"/>
      <c r="S95" s="1458"/>
      <c r="T95" s="1458"/>
      <c r="U95" s="1458"/>
      <c r="V95" s="1458"/>
      <c r="W95" s="1458"/>
      <c r="X95" s="1458"/>
    </row>
    <row r="96" spans="1:24" ht="26.25" hidden="1" thickBot="1" x14ac:dyDescent="0.3">
      <c r="A96" s="1546"/>
      <c r="B96" s="1549"/>
      <c r="C96" s="1549"/>
      <c r="D96" s="1549"/>
      <c r="E96" s="173">
        <v>1</v>
      </c>
      <c r="F96" s="175">
        <v>2</v>
      </c>
      <c r="G96" s="176" t="s">
        <v>579</v>
      </c>
      <c r="H96" s="173">
        <v>4</v>
      </c>
      <c r="I96" s="175">
        <v>5</v>
      </c>
      <c r="J96" s="176">
        <v>6</v>
      </c>
      <c r="K96" s="174">
        <v>7</v>
      </c>
      <c r="L96" s="199">
        <v>8</v>
      </c>
      <c r="M96" s="176" t="s">
        <v>580</v>
      </c>
      <c r="N96" s="177"/>
      <c r="O96" s="170"/>
      <c r="P96" s="170"/>
      <c r="Q96" s="170"/>
      <c r="R96" s="170"/>
      <c r="S96" s="177"/>
      <c r="T96" s="177"/>
      <c r="U96" s="177"/>
      <c r="V96" s="177"/>
      <c r="W96" s="177"/>
      <c r="X96" s="177"/>
    </row>
    <row r="97" spans="1:24" ht="15" hidden="1" x14ac:dyDescent="0.25">
      <c r="A97" s="200">
        <v>1</v>
      </c>
      <c r="B97" s="1515" t="s">
        <v>458</v>
      </c>
      <c r="C97" s="1530" t="s">
        <v>834</v>
      </c>
      <c r="D97" s="201" t="s">
        <v>443</v>
      </c>
      <c r="E97" s="535">
        <f t="shared" ref="E97:M108" si="17">E22-E65</f>
        <v>57.225000000000136</v>
      </c>
      <c r="F97" s="528">
        <f t="shared" si="17"/>
        <v>236164.88400000008</v>
      </c>
      <c r="G97" s="202">
        <f t="shared" si="17"/>
        <v>32.708338929482949</v>
      </c>
      <c r="H97" s="535">
        <f t="shared" si="17"/>
        <v>27.516000000000034</v>
      </c>
      <c r="I97" s="528">
        <f t="shared" si="17"/>
        <v>52388.535999999964</v>
      </c>
      <c r="J97" s="401" t="e">
        <f t="shared" si="17"/>
        <v>#VALUE!</v>
      </c>
      <c r="K97" s="536">
        <f t="shared" si="17"/>
        <v>84.741000000000213</v>
      </c>
      <c r="L97" s="537">
        <f t="shared" si="17"/>
        <v>288553.4200000001</v>
      </c>
      <c r="M97" s="202">
        <f t="shared" si="17"/>
        <v>29.62992469124778</v>
      </c>
      <c r="N97" s="170"/>
      <c r="O97" s="170"/>
      <c r="P97" s="170"/>
      <c r="Q97" s="192"/>
      <c r="R97" s="170"/>
      <c r="S97" s="170"/>
      <c r="T97" s="170"/>
      <c r="U97" s="170"/>
      <c r="V97" s="170"/>
      <c r="W97" s="170"/>
      <c r="X97" s="170"/>
    </row>
    <row r="98" spans="1:24" ht="15" hidden="1" x14ac:dyDescent="0.25">
      <c r="A98" s="200">
        <v>2</v>
      </c>
      <c r="B98" s="1528"/>
      <c r="C98" s="1530"/>
      <c r="D98" s="201" t="s">
        <v>444</v>
      </c>
      <c r="E98" s="527">
        <f t="shared" si="17"/>
        <v>-6.8520000000000891</v>
      </c>
      <c r="F98" s="528">
        <f t="shared" si="17"/>
        <v>200578.99499999994</v>
      </c>
      <c r="G98" s="202">
        <f t="shared" si="17"/>
        <v>24.964233983827476</v>
      </c>
      <c r="H98" s="527">
        <f t="shared" si="17"/>
        <v>33.685999999999979</v>
      </c>
      <c r="I98" s="528">
        <f t="shared" si="17"/>
        <v>50563.518000000011</v>
      </c>
      <c r="J98" s="401" t="e">
        <f t="shared" si="17"/>
        <v>#VALUE!</v>
      </c>
      <c r="K98" s="538">
        <f t="shared" si="17"/>
        <v>26.833999999999946</v>
      </c>
      <c r="L98" s="539">
        <f t="shared" si="17"/>
        <v>251142.51299999992</v>
      </c>
      <c r="M98" s="202">
        <f t="shared" si="17"/>
        <v>22.969130588299251</v>
      </c>
      <c r="N98" s="170"/>
      <c r="O98" s="170"/>
      <c r="P98" s="170"/>
      <c r="Q98" s="192"/>
      <c r="R98" s="170"/>
      <c r="S98" s="170"/>
      <c r="T98" s="170"/>
      <c r="U98" s="170"/>
      <c r="V98" s="170"/>
      <c r="W98" s="170"/>
      <c r="X98" s="170"/>
    </row>
    <row r="99" spans="1:24" ht="15" hidden="1" x14ac:dyDescent="0.25">
      <c r="A99" s="203">
        <v>3</v>
      </c>
      <c r="B99" s="1528"/>
      <c r="C99" s="1530"/>
      <c r="D99" s="204" t="s">
        <v>445</v>
      </c>
      <c r="E99" s="527">
        <f t="shared" si="17"/>
        <v>-99.587999999999965</v>
      </c>
      <c r="F99" s="528">
        <f t="shared" si="17"/>
        <v>632328.99</v>
      </c>
      <c r="G99" s="205">
        <f t="shared" si="17"/>
        <v>40.519539628917045</v>
      </c>
      <c r="H99" s="527">
        <f t="shared" si="17"/>
        <v>38.845999999999776</v>
      </c>
      <c r="I99" s="528">
        <f t="shared" si="17"/>
        <v>-242478.54199999996</v>
      </c>
      <c r="J99" s="402" t="e">
        <f t="shared" si="17"/>
        <v>#VALUE!</v>
      </c>
      <c r="K99" s="538">
        <f t="shared" si="17"/>
        <v>-60.742000000000189</v>
      </c>
      <c r="L99" s="539">
        <f t="shared" si="17"/>
        <v>389850.44800000009</v>
      </c>
      <c r="M99" s="205">
        <f t="shared" si="17"/>
        <v>21.68464782116277</v>
      </c>
      <c r="N99" s="170"/>
      <c r="O99" s="170"/>
      <c r="P99" s="170"/>
      <c r="Q99" s="192"/>
      <c r="R99" s="170"/>
      <c r="S99" s="170"/>
      <c r="T99" s="170"/>
      <c r="U99" s="170"/>
      <c r="V99" s="170"/>
      <c r="W99" s="170"/>
      <c r="X99" s="170"/>
    </row>
    <row r="100" spans="1:24" ht="15" hidden="1" x14ac:dyDescent="0.25">
      <c r="A100" s="203">
        <v>4</v>
      </c>
      <c r="B100" s="1528"/>
      <c r="C100" s="1530"/>
      <c r="D100" s="204" t="s">
        <v>446</v>
      </c>
      <c r="E100" s="527">
        <f t="shared" si="17"/>
        <v>90.958999999999918</v>
      </c>
      <c r="F100" s="528">
        <f t="shared" si="17"/>
        <v>91577.450999999914</v>
      </c>
      <c r="G100" s="205">
        <f t="shared" si="17"/>
        <v>12.325571562940993</v>
      </c>
      <c r="H100" s="527">
        <f t="shared" si="17"/>
        <v>65.501999999999981</v>
      </c>
      <c r="I100" s="528">
        <f t="shared" si="17"/>
        <v>83098.913</v>
      </c>
      <c r="J100" s="402" t="e">
        <f t="shared" si="17"/>
        <v>#VALUE!</v>
      </c>
      <c r="K100" s="538">
        <f t="shared" si="17"/>
        <v>156.4609999999999</v>
      </c>
      <c r="L100" s="539">
        <f t="shared" si="17"/>
        <v>174676.36399999991</v>
      </c>
      <c r="M100" s="205">
        <f t="shared" si="17"/>
        <v>21.128931500140183</v>
      </c>
      <c r="N100" s="170"/>
      <c r="O100" s="170"/>
      <c r="P100" s="170"/>
      <c r="Q100" s="192"/>
      <c r="R100" s="170"/>
      <c r="S100" s="170"/>
      <c r="T100" s="170"/>
      <c r="U100" s="170"/>
      <c r="V100" s="170"/>
      <c r="W100" s="170"/>
      <c r="X100" s="170"/>
    </row>
    <row r="101" spans="1:24" ht="15" hidden="1" x14ac:dyDescent="0.25">
      <c r="A101" s="203">
        <v>5</v>
      </c>
      <c r="B101" s="1528"/>
      <c r="C101" s="1530"/>
      <c r="D101" s="204" t="s">
        <v>447</v>
      </c>
      <c r="E101" s="527">
        <f t="shared" si="17"/>
        <v>83.90399999999994</v>
      </c>
      <c r="F101" s="528">
        <f t="shared" si="17"/>
        <v>103171.54200000003</v>
      </c>
      <c r="G101" s="205">
        <f t="shared" si="17"/>
        <v>14.893436059418548</v>
      </c>
      <c r="H101" s="527">
        <f t="shared" si="17"/>
        <v>-7.6809999999999832</v>
      </c>
      <c r="I101" s="528">
        <f t="shared" si="17"/>
        <v>11613.896999999983</v>
      </c>
      <c r="J101" s="402" t="e">
        <f t="shared" si="17"/>
        <v>#VALUE!</v>
      </c>
      <c r="K101" s="538">
        <f t="shared" si="17"/>
        <v>76.222999999999956</v>
      </c>
      <c r="L101" s="539">
        <f t="shared" si="17"/>
        <v>114785.43899999998</v>
      </c>
      <c r="M101" s="205">
        <f t="shared" si="17"/>
        <v>15.110018313962527</v>
      </c>
      <c r="N101" s="170"/>
      <c r="O101" s="170"/>
      <c r="P101" s="170"/>
      <c r="Q101" s="192"/>
      <c r="R101" s="170"/>
      <c r="S101" s="170"/>
      <c r="T101" s="170"/>
      <c r="U101" s="170"/>
      <c r="V101" s="170"/>
      <c r="W101" s="170"/>
      <c r="X101" s="170"/>
    </row>
    <row r="102" spans="1:24" ht="15" hidden="1" x14ac:dyDescent="0.25">
      <c r="A102" s="203">
        <v>6</v>
      </c>
      <c r="B102" s="1528"/>
      <c r="C102" s="1530"/>
      <c r="D102" s="204" t="s">
        <v>836</v>
      </c>
      <c r="E102" s="527">
        <f t="shared" si="17"/>
        <v>-15.016000000000005</v>
      </c>
      <c r="F102" s="528">
        <f t="shared" si="17"/>
        <v>7714.6750000000029</v>
      </c>
      <c r="G102" s="205">
        <f t="shared" si="17"/>
        <v>13.234029206886753</v>
      </c>
      <c r="H102" s="527">
        <f t="shared" si="17"/>
        <v>-22.831999999999994</v>
      </c>
      <c r="I102" s="528">
        <f t="shared" si="17"/>
        <v>-3827.3040000000019</v>
      </c>
      <c r="J102" s="402" t="e">
        <f t="shared" si="17"/>
        <v>#VALUE!</v>
      </c>
      <c r="K102" s="538">
        <f t="shared" si="17"/>
        <v>-37.847999999999999</v>
      </c>
      <c r="L102" s="539">
        <f t="shared" si="17"/>
        <v>3887.3709999999992</v>
      </c>
      <c r="M102" s="205">
        <f t="shared" si="17"/>
        <v>17.041008569094039</v>
      </c>
      <c r="N102" s="206"/>
      <c r="O102" s="170"/>
      <c r="P102" s="170"/>
      <c r="Q102" s="192"/>
      <c r="R102" s="170"/>
      <c r="S102" s="170"/>
      <c r="T102" s="170"/>
      <c r="U102" s="170"/>
      <c r="V102" s="170"/>
      <c r="W102" s="170"/>
      <c r="X102" s="170"/>
    </row>
    <row r="103" spans="1:24" ht="15" hidden="1" x14ac:dyDescent="0.25">
      <c r="A103" s="203">
        <v>7</v>
      </c>
      <c r="B103" s="1528"/>
      <c r="C103" s="1531"/>
      <c r="D103" s="224" t="s">
        <v>449</v>
      </c>
      <c r="E103" s="540">
        <f t="shared" si="17"/>
        <v>110.63199999999961</v>
      </c>
      <c r="F103" s="541">
        <f t="shared" si="17"/>
        <v>1271536.5369999993</v>
      </c>
      <c r="G103" s="225">
        <f t="shared" si="17"/>
        <v>30.352106236661072</v>
      </c>
      <c r="H103" s="540">
        <f t="shared" si="17"/>
        <v>135.03699999999969</v>
      </c>
      <c r="I103" s="541">
        <f t="shared" si="17"/>
        <v>-48640.98199999996</v>
      </c>
      <c r="J103" s="403" t="e">
        <f t="shared" si="17"/>
        <v>#VALUE!</v>
      </c>
      <c r="K103" s="542">
        <f t="shared" si="17"/>
        <v>245.66899999999987</v>
      </c>
      <c r="L103" s="543">
        <f t="shared" si="17"/>
        <v>1222895.5550000002</v>
      </c>
      <c r="M103" s="225">
        <f t="shared" si="17"/>
        <v>22.061164163330638</v>
      </c>
      <c r="N103" s="207"/>
      <c r="O103" s="170"/>
      <c r="P103" s="170"/>
      <c r="Q103" s="192"/>
      <c r="R103" s="170"/>
      <c r="S103" s="170"/>
      <c r="T103" s="170"/>
      <c r="U103" s="170"/>
      <c r="V103" s="170"/>
      <c r="W103" s="170"/>
      <c r="X103" s="170"/>
    </row>
    <row r="104" spans="1:24" ht="15" hidden="1" x14ac:dyDescent="0.25">
      <c r="A104" s="203">
        <v>8</v>
      </c>
      <c r="B104" s="1528"/>
      <c r="C104" s="1532" t="s">
        <v>837</v>
      </c>
      <c r="D104" s="1520"/>
      <c r="E104" s="527">
        <f t="shared" si="17"/>
        <v>59.545999999999992</v>
      </c>
      <c r="F104" s="528">
        <f t="shared" si="17"/>
        <v>114316.49299999996</v>
      </c>
      <c r="G104" s="205">
        <f t="shared" si="17"/>
        <v>16.517124628203561</v>
      </c>
      <c r="H104" s="527">
        <f t="shared" si="17"/>
        <v>171.73199999999997</v>
      </c>
      <c r="I104" s="528">
        <f t="shared" si="17"/>
        <v>198419.49900000001</v>
      </c>
      <c r="J104" s="402" t="e">
        <f t="shared" si="17"/>
        <v>#VALUE!</v>
      </c>
      <c r="K104" s="538">
        <f t="shared" si="17"/>
        <v>231.27800000000013</v>
      </c>
      <c r="L104" s="539">
        <f t="shared" si="17"/>
        <v>312735.99199999997</v>
      </c>
      <c r="M104" s="205">
        <f t="shared" si="17"/>
        <v>15.244214477789782</v>
      </c>
      <c r="N104" s="207"/>
      <c r="O104" s="170"/>
      <c r="P104" s="170"/>
      <c r="Q104" s="192"/>
      <c r="R104" s="170"/>
      <c r="S104" s="170"/>
      <c r="T104" s="170"/>
      <c r="U104" s="170"/>
      <c r="V104" s="170"/>
      <c r="W104" s="170"/>
      <c r="X104" s="170"/>
    </row>
    <row r="105" spans="1:24" ht="15" hidden="1" x14ac:dyDescent="0.25">
      <c r="A105" s="203">
        <v>9</v>
      </c>
      <c r="B105" s="1529"/>
      <c r="C105" s="1533" t="s">
        <v>838</v>
      </c>
      <c r="D105" s="1534"/>
      <c r="E105" s="527">
        <f t="shared" si="17"/>
        <v>195.41699999999992</v>
      </c>
      <c r="F105" s="528">
        <f t="shared" si="17"/>
        <v>639385.598</v>
      </c>
      <c r="G105" s="205">
        <f t="shared" si="17"/>
        <v>17.907502676610559</v>
      </c>
      <c r="H105" s="527">
        <f t="shared" si="17"/>
        <v>161.21799999999996</v>
      </c>
      <c r="I105" s="528">
        <f t="shared" si="17"/>
        <v>224707.41399999999</v>
      </c>
      <c r="J105" s="402" t="e">
        <f t="shared" si="17"/>
        <v>#VALUE!</v>
      </c>
      <c r="K105" s="538">
        <f t="shared" si="17"/>
        <v>356.63500000000022</v>
      </c>
      <c r="L105" s="539">
        <f t="shared" si="17"/>
        <v>864093.0120000001</v>
      </c>
      <c r="M105" s="205">
        <f t="shared" si="17"/>
        <v>18.230925039577237</v>
      </c>
      <c r="N105" s="170"/>
      <c r="O105" s="170"/>
      <c r="P105" s="170"/>
      <c r="Q105" s="192"/>
      <c r="R105" s="170"/>
      <c r="S105" s="170"/>
      <c r="T105" s="170"/>
      <c r="U105" s="170"/>
      <c r="V105" s="170"/>
      <c r="W105" s="170"/>
      <c r="X105" s="170"/>
    </row>
    <row r="106" spans="1:24" ht="15" hidden="1" x14ac:dyDescent="0.25">
      <c r="A106" s="203">
        <v>10</v>
      </c>
      <c r="B106" s="1520" t="s">
        <v>369</v>
      </c>
      <c r="C106" s="1520"/>
      <c r="D106" s="1520"/>
      <c r="E106" s="527">
        <f t="shared" si="17"/>
        <v>-17.147999999999968</v>
      </c>
      <c r="F106" s="528">
        <f t="shared" si="17"/>
        <v>52861.366999999998</v>
      </c>
      <c r="G106" s="205">
        <f t="shared" si="17"/>
        <v>12.265377858758409</v>
      </c>
      <c r="H106" s="527">
        <f t="shared" si="17"/>
        <v>49.383000000000003</v>
      </c>
      <c r="I106" s="528">
        <f t="shared" si="17"/>
        <v>21019.03</v>
      </c>
      <c r="J106" s="402" t="e">
        <f t="shared" si="17"/>
        <v>#VALUE!</v>
      </c>
      <c r="K106" s="538">
        <f t="shared" si="17"/>
        <v>32.236999999999966</v>
      </c>
      <c r="L106" s="539">
        <f t="shared" si="17"/>
        <v>73880.397000000012</v>
      </c>
      <c r="M106" s="205">
        <f t="shared" si="17"/>
        <v>11.726281703912157</v>
      </c>
      <c r="N106" s="170"/>
      <c r="V106" s="170"/>
      <c r="W106" s="170"/>
      <c r="X106" s="170"/>
    </row>
    <row r="107" spans="1:24" ht="15.75" hidden="1" thickBot="1" x14ac:dyDescent="0.3">
      <c r="A107" s="208">
        <v>11</v>
      </c>
      <c r="B107" s="1521" t="s">
        <v>457</v>
      </c>
      <c r="C107" s="1521"/>
      <c r="D107" s="1521"/>
      <c r="E107" s="532">
        <f t="shared" si="17"/>
        <v>0</v>
      </c>
      <c r="F107" s="533">
        <f t="shared" si="17"/>
        <v>0</v>
      </c>
      <c r="G107" s="544" t="e">
        <f t="shared" si="17"/>
        <v>#VALUE!</v>
      </c>
      <c r="H107" s="532">
        <f t="shared" si="17"/>
        <v>0</v>
      </c>
      <c r="I107" s="533">
        <f t="shared" si="17"/>
        <v>0</v>
      </c>
      <c r="J107" s="404" t="e">
        <f t="shared" si="17"/>
        <v>#VALUE!</v>
      </c>
      <c r="K107" s="545">
        <f t="shared" si="17"/>
        <v>0</v>
      </c>
      <c r="L107" s="546">
        <f t="shared" si="17"/>
        <v>0</v>
      </c>
      <c r="M107" s="544" t="e">
        <f t="shared" si="17"/>
        <v>#VALUE!</v>
      </c>
      <c r="N107" s="170"/>
      <c r="V107" s="170"/>
      <c r="W107" s="170"/>
      <c r="X107" s="170"/>
    </row>
    <row r="108" spans="1:24" ht="15.75" hidden="1" thickBot="1" x14ac:dyDescent="0.3">
      <c r="A108" s="209">
        <v>12</v>
      </c>
      <c r="B108" s="1522" t="s">
        <v>449</v>
      </c>
      <c r="C108" s="1522"/>
      <c r="D108" s="1522"/>
      <c r="E108" s="210">
        <f t="shared" si="17"/>
        <v>348.44699999999921</v>
      </c>
      <c r="F108" s="211">
        <f t="shared" si="17"/>
        <v>2078099.9949999982</v>
      </c>
      <c r="G108" s="384">
        <f t="shared" si="17"/>
        <v>23.631404118818239</v>
      </c>
      <c r="H108" s="210">
        <f t="shared" si="17"/>
        <v>517.36999999999966</v>
      </c>
      <c r="I108" s="211">
        <f t="shared" si="17"/>
        <v>395504.96099999989</v>
      </c>
      <c r="J108" s="405" t="e">
        <f t="shared" si="17"/>
        <v>#VALUE!</v>
      </c>
      <c r="K108" s="212">
        <f t="shared" si="17"/>
        <v>865.81899999999769</v>
      </c>
      <c r="L108" s="211">
        <f t="shared" si="17"/>
        <v>2473604.9560000007</v>
      </c>
      <c r="M108" s="213">
        <f t="shared" si="17"/>
        <v>19.067468851659044</v>
      </c>
      <c r="N108" s="170"/>
      <c r="O108" s="191"/>
      <c r="P108" s="191"/>
      <c r="Q108" s="191"/>
      <c r="R108" s="191"/>
      <c r="S108" s="191"/>
      <c r="T108" s="191"/>
      <c r="U108" s="191"/>
      <c r="V108" s="190"/>
      <c r="W108" s="190"/>
      <c r="X108" s="190"/>
    </row>
    <row r="109" spans="1:24" hidden="1" x14ac:dyDescent="0.25"/>
    <row r="110" spans="1:24" hidden="1" x14ac:dyDescent="0.25"/>
  </sheetData>
  <mergeCells count="118">
    <mergeCell ref="E7:F7"/>
    <mergeCell ref="G7:H7"/>
    <mergeCell ref="I7:J7"/>
    <mergeCell ref="K7:L7"/>
    <mergeCell ref="M7:N7"/>
    <mergeCell ref="O7:P7"/>
    <mergeCell ref="A5:A9"/>
    <mergeCell ref="B5:D9"/>
    <mergeCell ref="E5:X5"/>
    <mergeCell ref="E6:H6"/>
    <mergeCell ref="I6:L6"/>
    <mergeCell ref="M6:P6"/>
    <mergeCell ref="Q6:R7"/>
    <mergeCell ref="S6:T7"/>
    <mergeCell ref="U6:V7"/>
    <mergeCell ref="W6:X7"/>
    <mergeCell ref="B15:D15"/>
    <mergeCell ref="A19:A21"/>
    <mergeCell ref="B19:D21"/>
    <mergeCell ref="E19:G19"/>
    <mergeCell ref="H19:J19"/>
    <mergeCell ref="K19:M19"/>
    <mergeCell ref="B10:B12"/>
    <mergeCell ref="C10:D10"/>
    <mergeCell ref="C11:D11"/>
    <mergeCell ref="C12:D12"/>
    <mergeCell ref="B13:D13"/>
    <mergeCell ref="B14:D14"/>
    <mergeCell ref="B32:D32"/>
    <mergeCell ref="B33:D33"/>
    <mergeCell ref="A39:M39"/>
    <mergeCell ref="A40:M40"/>
    <mergeCell ref="A41:M41"/>
    <mergeCell ref="A42:M42"/>
    <mergeCell ref="O19:X20"/>
    <mergeCell ref="B22:B30"/>
    <mergeCell ref="C22:C28"/>
    <mergeCell ref="C29:D29"/>
    <mergeCell ref="C30:D30"/>
    <mergeCell ref="B31:D31"/>
    <mergeCell ref="A43:M43"/>
    <mergeCell ref="A44:M44"/>
    <mergeCell ref="A45:M45"/>
    <mergeCell ref="A46:M46"/>
    <mergeCell ref="B47:D47"/>
    <mergeCell ref="A48:A52"/>
    <mergeCell ref="B48:D52"/>
    <mergeCell ref="E48:X48"/>
    <mergeCell ref="E49:H49"/>
    <mergeCell ref="I49:L49"/>
    <mergeCell ref="M49:P49"/>
    <mergeCell ref="Q49:R50"/>
    <mergeCell ref="S49:T50"/>
    <mergeCell ref="U49:V50"/>
    <mergeCell ref="W49:X50"/>
    <mergeCell ref="E50:F50"/>
    <mergeCell ref="G50:H50"/>
    <mergeCell ref="I50:J50"/>
    <mergeCell ref="K50:L50"/>
    <mergeCell ref="M50:N50"/>
    <mergeCell ref="B57:D57"/>
    <mergeCell ref="B58:D58"/>
    <mergeCell ref="A62:A64"/>
    <mergeCell ref="B62:D64"/>
    <mergeCell ref="E62:G62"/>
    <mergeCell ref="H62:J62"/>
    <mergeCell ref="O50:P50"/>
    <mergeCell ref="B53:B55"/>
    <mergeCell ref="C53:D53"/>
    <mergeCell ref="C54:D54"/>
    <mergeCell ref="C55:D55"/>
    <mergeCell ref="B56:D56"/>
    <mergeCell ref="B74:D74"/>
    <mergeCell ref="B75:D75"/>
    <mergeCell ref="B76:D76"/>
    <mergeCell ref="A79:D79"/>
    <mergeCell ref="A80:A84"/>
    <mergeCell ref="B80:D84"/>
    <mergeCell ref="K62:M62"/>
    <mergeCell ref="O62:X63"/>
    <mergeCell ref="B65:B73"/>
    <mergeCell ref="C65:C71"/>
    <mergeCell ref="C72:D72"/>
    <mergeCell ref="C73:D73"/>
    <mergeCell ref="O82:P82"/>
    <mergeCell ref="E80:X80"/>
    <mergeCell ref="E81:H81"/>
    <mergeCell ref="I81:L81"/>
    <mergeCell ref="M81:P81"/>
    <mergeCell ref="Q81:R82"/>
    <mergeCell ref="S81:T82"/>
    <mergeCell ref="U81:V82"/>
    <mergeCell ref="W81:X82"/>
    <mergeCell ref="E82:F82"/>
    <mergeCell ref="G82:H82"/>
    <mergeCell ref="B88:D88"/>
    <mergeCell ref="B89:D89"/>
    <mergeCell ref="B90:D90"/>
    <mergeCell ref="A94:A96"/>
    <mergeCell ref="B94:D96"/>
    <mergeCell ref="E94:G94"/>
    <mergeCell ref="I82:J82"/>
    <mergeCell ref="K82:L82"/>
    <mergeCell ref="M82:N82"/>
    <mergeCell ref="B85:B87"/>
    <mergeCell ref="C85:D85"/>
    <mergeCell ref="C86:D86"/>
    <mergeCell ref="C87:D87"/>
    <mergeCell ref="B106:D106"/>
    <mergeCell ref="B107:D107"/>
    <mergeCell ref="B108:D108"/>
    <mergeCell ref="H94:J94"/>
    <mergeCell ref="K94:M94"/>
    <mergeCell ref="O94:X95"/>
    <mergeCell ref="B97:B105"/>
    <mergeCell ref="C97:C103"/>
    <mergeCell ref="C104:D104"/>
    <mergeCell ref="C105:D105"/>
  </mergeCells>
  <conditionalFormatting sqref="F34:F36 L34:L36">
    <cfRule type="cellIs" dxfId="1" priority="1" stopIfTrue="1" operator="lessThan">
      <formula>0</formula>
    </cfRule>
    <cfRule type="cellIs" dxfId="0" priority="2" stopIfTrue="1" operator="greaterThan">
      <formula>0</formula>
    </cfRule>
  </conditionalFormatting>
  <printOptions horizontalCentered="1"/>
  <pageMargins left="0" right="0" top="0.78740157480314965" bottom="0.27559055118110237" header="0.27559055118110237" footer="0.19685039370078741"/>
  <pageSetup paperSize="9" scale="59" orientation="landscape" cellComments="asDisplayed"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AJ34"/>
  <sheetViews>
    <sheetView tabSelected="1" zoomScaleNormal="100" workbookViewId="0">
      <pane xSplit="3" ySplit="6" topLeftCell="D7" activePane="bottomRight" state="frozen"/>
      <selection activeCell="B151" sqref="B151"/>
      <selection pane="topRight" activeCell="B151" sqref="B151"/>
      <selection pane="bottomLeft" activeCell="B151" sqref="B151"/>
      <selection pane="bottomRight" activeCell="D7" sqref="D7"/>
    </sheetView>
  </sheetViews>
  <sheetFormatPr defaultColWidth="9.140625" defaultRowHeight="12.75" x14ac:dyDescent="0.25"/>
  <cols>
    <col min="1" max="1" width="3.42578125" style="8" customWidth="1"/>
    <col min="2" max="2" width="9" style="8" customWidth="1"/>
    <col min="3" max="3" width="54.85546875" style="8" customWidth="1"/>
    <col min="4" max="4" width="13.28515625" style="8" customWidth="1"/>
    <col min="5" max="10" width="12.7109375" style="8" customWidth="1"/>
    <col min="11" max="12" width="13.85546875" style="8" bestFit="1" customWidth="1"/>
    <col min="13" max="13" width="11.28515625" style="8" customWidth="1"/>
    <col min="14" max="14" width="4" style="8" customWidth="1"/>
    <col min="15" max="15" width="1.85546875" style="8" customWidth="1"/>
    <col min="16" max="16" width="10.7109375" style="8" hidden="1" customWidth="1"/>
    <col min="17" max="17" width="13.42578125" style="8" hidden="1" customWidth="1"/>
    <col min="18" max="21" width="0" style="8" hidden="1" customWidth="1"/>
    <col min="22" max="22" width="42.140625" style="8" hidden="1" customWidth="1"/>
    <col min="23" max="23" width="0" style="8" hidden="1" customWidth="1"/>
    <col min="24" max="25" width="9.42578125" style="8" hidden="1" customWidth="1"/>
    <col min="26" max="26" width="10.7109375" style="8" hidden="1" customWidth="1"/>
    <col min="27" max="28" width="9.28515625" style="8" hidden="1" customWidth="1"/>
    <col min="29" max="29" width="9.42578125" style="8" hidden="1" customWidth="1"/>
    <col min="30" max="30" width="9.28515625" style="8" hidden="1" customWidth="1"/>
    <col min="31" max="32" width="10.42578125" style="8" hidden="1" customWidth="1"/>
    <col min="33" max="33" width="9.28515625" style="8" hidden="1" customWidth="1"/>
    <col min="34" max="34" width="9.140625" style="8"/>
    <col min="35" max="35" width="9.42578125" style="8" bestFit="1" customWidth="1"/>
    <col min="36" max="16384" width="9.140625" style="8"/>
  </cols>
  <sheetData>
    <row r="1" spans="1:36" ht="28.5" x14ac:dyDescent="0.25">
      <c r="A1" s="355" t="s">
        <v>619</v>
      </c>
      <c r="K1" s="9"/>
      <c r="L1" s="9"/>
      <c r="N1" s="7"/>
    </row>
    <row r="2" spans="1:36" s="9" customFormat="1" ht="36.75" customHeight="1" thickBot="1" x14ac:dyDescent="0.3">
      <c r="M2" s="339" t="s">
        <v>901</v>
      </c>
      <c r="N2" s="13"/>
      <c r="V2" s="1123">
        <v>2022</v>
      </c>
    </row>
    <row r="3" spans="1:36" s="9" customFormat="1" ht="17.25" customHeight="1" x14ac:dyDescent="0.25">
      <c r="A3" s="1615" t="s">
        <v>341</v>
      </c>
      <c r="B3" s="1618" t="s">
        <v>503</v>
      </c>
      <c r="C3" s="1619"/>
      <c r="D3" s="1624" t="s">
        <v>510</v>
      </c>
      <c r="E3" s="1625"/>
      <c r="F3" s="1625"/>
      <c r="G3" s="1625"/>
      <c r="H3" s="1625"/>
      <c r="I3" s="1625"/>
      <c r="J3" s="1625"/>
      <c r="K3" s="1626"/>
      <c r="L3" s="1627" t="s">
        <v>360</v>
      </c>
      <c r="M3" s="1628"/>
      <c r="N3" s="218"/>
      <c r="U3" s="9" t="s">
        <v>341</v>
      </c>
      <c r="V3" s="9" t="s">
        <v>503</v>
      </c>
      <c r="X3" s="9" t="s">
        <v>510</v>
      </c>
      <c r="AF3" s="9" t="s">
        <v>360</v>
      </c>
    </row>
    <row r="4" spans="1:36" s="9" customFormat="1" ht="29.25" customHeight="1" x14ac:dyDescent="0.25">
      <c r="A4" s="1616"/>
      <c r="B4" s="1620"/>
      <c r="C4" s="1621"/>
      <c r="D4" s="1594" t="s">
        <v>1244</v>
      </c>
      <c r="E4" s="1598" t="s">
        <v>1106</v>
      </c>
      <c r="F4" s="1599" t="s">
        <v>491</v>
      </c>
      <c r="G4" s="1600"/>
      <c r="H4" s="1600"/>
      <c r="I4" s="1600"/>
      <c r="J4" s="1601"/>
      <c r="K4" s="1602" t="s">
        <v>449</v>
      </c>
      <c r="L4" s="1604" t="s">
        <v>490</v>
      </c>
      <c r="M4" s="1629" t="s">
        <v>491</v>
      </c>
      <c r="N4" s="218"/>
      <c r="V4" s="1594"/>
      <c r="W4" s="1598"/>
      <c r="X4" s="1599" t="s">
        <v>1185</v>
      </c>
      <c r="Y4" s="1600" t="s">
        <v>1106</v>
      </c>
      <c r="Z4" s="1600" t="s">
        <v>491</v>
      </c>
      <c r="AA4" s="1600"/>
      <c r="AB4" s="1601"/>
      <c r="AC4" s="1602"/>
      <c r="AD4" s="1604"/>
      <c r="AE4" s="1594" t="s">
        <v>449</v>
      </c>
      <c r="AF4" s="9" t="s">
        <v>490</v>
      </c>
      <c r="AG4" s="9" t="s">
        <v>491</v>
      </c>
    </row>
    <row r="5" spans="1:36" ht="43.5" customHeight="1" x14ac:dyDescent="0.25">
      <c r="A5" s="1616"/>
      <c r="B5" s="1620"/>
      <c r="C5" s="1621"/>
      <c r="D5" s="1595"/>
      <c r="E5" s="1595"/>
      <c r="F5" s="731" t="s">
        <v>842</v>
      </c>
      <c r="G5" s="732" t="s">
        <v>507</v>
      </c>
      <c r="H5" s="732" t="s">
        <v>843</v>
      </c>
      <c r="I5" s="732" t="s">
        <v>844</v>
      </c>
      <c r="J5" s="732" t="s">
        <v>845</v>
      </c>
      <c r="K5" s="1603"/>
      <c r="L5" s="1605"/>
      <c r="M5" s="1630"/>
      <c r="N5" s="218"/>
      <c r="V5" s="1595"/>
      <c r="W5" s="1595"/>
      <c r="X5" s="731"/>
      <c r="Y5" s="732"/>
      <c r="Z5" s="732" t="s">
        <v>842</v>
      </c>
      <c r="AA5" s="732" t="s">
        <v>507</v>
      </c>
      <c r="AB5" s="732" t="s">
        <v>843</v>
      </c>
      <c r="AC5" s="1603" t="s">
        <v>844</v>
      </c>
      <c r="AD5" s="1605" t="s">
        <v>845</v>
      </c>
      <c r="AE5" s="1595"/>
    </row>
    <row r="6" spans="1:36" s="220" customFormat="1" thickBot="1" x14ac:dyDescent="0.3">
      <c r="A6" s="1617"/>
      <c r="B6" s="1622"/>
      <c r="C6" s="1623"/>
      <c r="D6" s="730" t="s">
        <v>405</v>
      </c>
      <c r="E6" s="356" t="s">
        <v>406</v>
      </c>
      <c r="F6" s="1608" t="s">
        <v>407</v>
      </c>
      <c r="G6" s="1609"/>
      <c r="H6" s="1609"/>
      <c r="I6" s="1609"/>
      <c r="J6" s="1610"/>
      <c r="K6" s="734" t="s">
        <v>571</v>
      </c>
      <c r="L6" s="735" t="s">
        <v>409</v>
      </c>
      <c r="M6" s="357" t="s">
        <v>410</v>
      </c>
      <c r="N6" s="219"/>
      <c r="O6" s="221"/>
      <c r="P6" s="221">
        <v>2022</v>
      </c>
      <c r="Q6" s="220" t="s">
        <v>1194</v>
      </c>
      <c r="R6" s="220" t="s">
        <v>1195</v>
      </c>
      <c r="X6" s="220" t="s">
        <v>405</v>
      </c>
      <c r="Y6" s="220" t="s">
        <v>406</v>
      </c>
      <c r="Z6" s="220" t="s">
        <v>407</v>
      </c>
      <c r="AE6" s="220" t="s">
        <v>571</v>
      </c>
      <c r="AF6" s="220" t="s">
        <v>409</v>
      </c>
      <c r="AG6" s="220" t="s">
        <v>410</v>
      </c>
      <c r="AH6" s="1303">
        <v>2023</v>
      </c>
      <c r="AI6" s="1303"/>
      <c r="AJ6" s="1303"/>
    </row>
    <row r="7" spans="1:36" ht="19.5" thickBot="1" x14ac:dyDescent="0.3">
      <c r="A7" s="303">
        <v>1</v>
      </c>
      <c r="B7" s="736" t="s">
        <v>486</v>
      </c>
      <c r="C7" s="737"/>
      <c r="D7" s="1058">
        <f>SUM(D8:D13,D15,D19,D23:D24)</f>
        <v>1031882.1311700001</v>
      </c>
      <c r="E7" s="1059">
        <v>127868.47798</v>
      </c>
      <c r="F7" s="1059">
        <v>31041.168000000001</v>
      </c>
      <c r="G7" s="1059">
        <v>2545.1984000000002</v>
      </c>
      <c r="H7" s="1059">
        <v>3950.5995000000003</v>
      </c>
      <c r="I7" s="1059">
        <v>20043.754930000003</v>
      </c>
      <c r="J7" s="1059">
        <v>2691.7709999999997</v>
      </c>
      <c r="K7" s="1100">
        <v>1220023.1009800001</v>
      </c>
      <c r="L7" s="1059">
        <v>1220023.1009800001</v>
      </c>
      <c r="M7" s="1210">
        <v>0</v>
      </c>
      <c r="N7" s="219"/>
      <c r="O7" s="114"/>
      <c r="P7" s="700">
        <v>1236863.30431</v>
      </c>
      <c r="Q7" s="1077">
        <f>K7-P7</f>
        <v>-16840.203329999931</v>
      </c>
      <c r="R7" s="591">
        <f>Q7/P7</f>
        <v>-1.3615250182714778E-2</v>
      </c>
      <c r="S7" s="591"/>
      <c r="U7" s="8">
        <v>1</v>
      </c>
      <c r="V7" s="8" t="s">
        <v>486</v>
      </c>
      <c r="X7" s="114">
        <v>925129.43203000003</v>
      </c>
      <c r="Y7" s="114">
        <v>124945.55125000002</v>
      </c>
      <c r="Z7" s="114">
        <v>27217.486499999999</v>
      </c>
      <c r="AA7" s="114">
        <v>2545.5715</v>
      </c>
      <c r="AB7" s="114">
        <v>28535.761019999998</v>
      </c>
      <c r="AC7" s="114">
        <v>116060.58400999999</v>
      </c>
      <c r="AD7" s="114">
        <v>12428.918</v>
      </c>
      <c r="AE7" s="114">
        <v>1236863.30431</v>
      </c>
      <c r="AF7" s="114">
        <v>1236863.30431</v>
      </c>
      <c r="AG7" s="114">
        <v>0</v>
      </c>
      <c r="AH7" s="1304">
        <v>1245588</v>
      </c>
      <c r="AI7" s="1305">
        <f>K7-AH7</f>
        <v>-25564.899019999895</v>
      </c>
      <c r="AJ7" s="1306">
        <f>(K7-AH7)/AH7</f>
        <v>-2.0524362004129694E-2</v>
      </c>
    </row>
    <row r="8" spans="1:36" ht="18.75" customHeight="1" x14ac:dyDescent="0.25">
      <c r="A8" s="1054">
        <f>A7+1</f>
        <v>2</v>
      </c>
      <c r="B8" s="1611" t="s">
        <v>415</v>
      </c>
      <c r="C8" s="1612"/>
      <c r="D8" s="1060">
        <v>6088</v>
      </c>
      <c r="E8" s="1060">
        <v>48480.667000000001</v>
      </c>
      <c r="F8" s="1060">
        <v>8347.3330000000005</v>
      </c>
      <c r="G8" s="1060">
        <v>0</v>
      </c>
      <c r="H8" s="1060">
        <v>0</v>
      </c>
      <c r="I8" s="1060">
        <v>0</v>
      </c>
      <c r="J8" s="1060">
        <v>0</v>
      </c>
      <c r="K8" s="1101">
        <v>62916</v>
      </c>
      <c r="L8" s="1061">
        <v>62916</v>
      </c>
      <c r="M8" s="749" t="s">
        <v>835</v>
      </c>
      <c r="N8" s="219"/>
      <c r="O8" s="240"/>
      <c r="Q8" s="1078"/>
      <c r="R8" s="1076"/>
      <c r="U8" s="8">
        <v>2</v>
      </c>
      <c r="V8" s="8" t="s">
        <v>415</v>
      </c>
      <c r="X8" s="114">
        <v>4419</v>
      </c>
      <c r="Y8" s="114">
        <v>39091.345370000003</v>
      </c>
      <c r="Z8" s="114">
        <v>8218.7546299999995</v>
      </c>
      <c r="AA8" s="114">
        <v>0</v>
      </c>
      <c r="AB8" s="114">
        <v>0</v>
      </c>
      <c r="AC8" s="114">
        <v>0</v>
      </c>
      <c r="AD8" s="114">
        <v>0</v>
      </c>
      <c r="AE8" s="114">
        <v>51729.100000000006</v>
      </c>
      <c r="AF8" s="114">
        <v>51729.100000000006</v>
      </c>
      <c r="AG8" s="1122" t="s">
        <v>835</v>
      </c>
    </row>
    <row r="9" spans="1:36" ht="48.75" customHeight="1" x14ac:dyDescent="0.25">
      <c r="A9" s="738">
        <f t="shared" ref="A9:A27" si="0">A8+1</f>
        <v>3</v>
      </c>
      <c r="B9" s="1596" t="s">
        <v>416</v>
      </c>
      <c r="C9" s="1597"/>
      <c r="D9" s="1060">
        <v>9958.7240000000002</v>
      </c>
      <c r="E9" s="1060">
        <v>4464.9589999999998</v>
      </c>
      <c r="F9" s="1060">
        <v>457.55500000000001</v>
      </c>
      <c r="G9" s="1060">
        <v>211.5</v>
      </c>
      <c r="H9" s="1060">
        <v>0</v>
      </c>
      <c r="I9" s="1060">
        <v>25.344999999999999</v>
      </c>
      <c r="J9" s="1060">
        <v>75.221999999999994</v>
      </c>
      <c r="K9" s="1102">
        <v>15193.305</v>
      </c>
      <c r="L9" s="1062">
        <v>15193.305</v>
      </c>
      <c r="M9" s="750" t="s">
        <v>835</v>
      </c>
      <c r="N9" s="222"/>
      <c r="O9" s="240"/>
      <c r="Q9" s="1078"/>
      <c r="R9" s="1076"/>
      <c r="U9" s="8">
        <v>3</v>
      </c>
      <c r="V9" s="8" t="s">
        <v>416</v>
      </c>
      <c r="X9" s="114">
        <v>6144.9290000000001</v>
      </c>
      <c r="Y9" s="114">
        <v>3196.0839999999998</v>
      </c>
      <c r="Z9" s="114">
        <v>1552.816</v>
      </c>
      <c r="AA9" s="114">
        <v>56</v>
      </c>
      <c r="AB9" s="114">
        <v>12</v>
      </c>
      <c r="AC9" s="114">
        <v>184</v>
      </c>
      <c r="AD9" s="114">
        <v>0</v>
      </c>
      <c r="AE9" s="114">
        <v>11145.829</v>
      </c>
      <c r="AF9" s="114">
        <v>11145.829</v>
      </c>
      <c r="AG9" s="1122" t="s">
        <v>835</v>
      </c>
    </row>
    <row r="10" spans="1:36" ht="35.25" customHeight="1" x14ac:dyDescent="0.25">
      <c r="A10" s="738">
        <f t="shared" si="0"/>
        <v>4</v>
      </c>
      <c r="B10" s="1613" t="s">
        <v>487</v>
      </c>
      <c r="C10" s="1614"/>
      <c r="D10" s="1060">
        <v>166112.24299999999</v>
      </c>
      <c r="E10" s="1060">
        <v>473</v>
      </c>
      <c r="F10" s="1060">
        <v>2544.6</v>
      </c>
      <c r="G10" s="1060">
        <v>8.4</v>
      </c>
      <c r="H10" s="1060">
        <v>2818.7150000000001</v>
      </c>
      <c r="I10" s="1060">
        <v>4179.7449999999999</v>
      </c>
      <c r="J10" s="1060">
        <v>141</v>
      </c>
      <c r="K10" s="1102">
        <v>176277.70299999998</v>
      </c>
      <c r="L10" s="1062">
        <v>176277.70299999998</v>
      </c>
      <c r="M10" s="750" t="s">
        <v>835</v>
      </c>
      <c r="N10" s="222"/>
      <c r="O10" s="114"/>
      <c r="P10" s="700">
        <v>172318.74300000002</v>
      </c>
      <c r="Q10" s="1077">
        <f>K10-P10</f>
        <v>3958.9599999999627</v>
      </c>
      <c r="R10" s="591">
        <f>Q10/P10</f>
        <v>2.2974633699596812E-2</v>
      </c>
      <c r="U10" s="8">
        <v>4</v>
      </c>
      <c r="V10" s="8" t="s">
        <v>487</v>
      </c>
      <c r="X10" s="114">
        <v>159361.47250000003</v>
      </c>
      <c r="Y10" s="114">
        <v>739.4</v>
      </c>
      <c r="Z10" s="114">
        <v>2513.8780000000002</v>
      </c>
      <c r="AA10" s="114">
        <v>131.4</v>
      </c>
      <c r="AB10" s="114">
        <v>1808.498</v>
      </c>
      <c r="AC10" s="114">
        <v>7764.0945000000002</v>
      </c>
      <c r="AD10" s="114">
        <v>0</v>
      </c>
      <c r="AE10" s="114">
        <v>172318.74300000002</v>
      </c>
      <c r="AF10" s="114">
        <v>172318.74300000002</v>
      </c>
      <c r="AG10" s="1122" t="s">
        <v>835</v>
      </c>
    </row>
    <row r="11" spans="1:36" ht="26.25" customHeight="1" x14ac:dyDescent="0.25">
      <c r="A11" s="738">
        <f t="shared" si="0"/>
        <v>5</v>
      </c>
      <c r="B11" s="1596" t="s">
        <v>489</v>
      </c>
      <c r="C11" s="1597"/>
      <c r="D11" s="1060">
        <v>0</v>
      </c>
      <c r="E11" s="1060">
        <v>88</v>
      </c>
      <c r="F11" s="1060">
        <v>0</v>
      </c>
      <c r="G11" s="1060">
        <v>0</v>
      </c>
      <c r="H11" s="1060">
        <v>0</v>
      </c>
      <c r="I11" s="1060">
        <v>0</v>
      </c>
      <c r="J11" s="1060">
        <v>0</v>
      </c>
      <c r="K11" s="1102">
        <v>88</v>
      </c>
      <c r="L11" s="1062">
        <v>88</v>
      </c>
      <c r="M11" s="750" t="s">
        <v>835</v>
      </c>
      <c r="N11" s="222"/>
      <c r="O11" s="240"/>
      <c r="Q11" s="1078"/>
      <c r="R11" s="1076"/>
      <c r="U11" s="8">
        <v>5</v>
      </c>
      <c r="V11" s="8" t="s">
        <v>489</v>
      </c>
      <c r="X11" s="114">
        <v>0</v>
      </c>
      <c r="Y11" s="114">
        <v>134</v>
      </c>
      <c r="Z11" s="114">
        <v>10</v>
      </c>
      <c r="AA11" s="114">
        <v>0</v>
      </c>
      <c r="AB11" s="114">
        <v>0</v>
      </c>
      <c r="AC11" s="114">
        <v>0</v>
      </c>
      <c r="AD11" s="114">
        <v>0</v>
      </c>
      <c r="AE11" s="114">
        <v>144</v>
      </c>
      <c r="AF11" s="114">
        <v>144</v>
      </c>
      <c r="AG11" s="1122" t="s">
        <v>835</v>
      </c>
    </row>
    <row r="12" spans="1:36" ht="15.6" customHeight="1" x14ac:dyDescent="0.25">
      <c r="A12" s="738">
        <f t="shared" si="0"/>
        <v>6</v>
      </c>
      <c r="B12" s="1596" t="s">
        <v>417</v>
      </c>
      <c r="C12" s="1597"/>
      <c r="D12" s="1060">
        <v>5338.54</v>
      </c>
      <c r="E12" s="1060">
        <v>0</v>
      </c>
      <c r="F12" s="1060">
        <v>0</v>
      </c>
      <c r="G12" s="1060">
        <v>0</v>
      </c>
      <c r="H12" s="1060">
        <v>0</v>
      </c>
      <c r="I12" s="1060">
        <v>0</v>
      </c>
      <c r="J12" s="1060">
        <v>0</v>
      </c>
      <c r="K12" s="1102">
        <v>5338.54</v>
      </c>
      <c r="L12" s="1062">
        <v>5338.54</v>
      </c>
      <c r="M12" s="750" t="s">
        <v>835</v>
      </c>
      <c r="N12" s="222"/>
      <c r="O12" s="240"/>
      <c r="Q12" s="1078"/>
      <c r="R12" s="1076"/>
      <c r="U12" s="8">
        <v>6</v>
      </c>
      <c r="V12" s="8" t="s">
        <v>417</v>
      </c>
      <c r="X12" s="114">
        <v>3303.7720000000004</v>
      </c>
      <c r="Y12" s="114">
        <v>0</v>
      </c>
      <c r="Z12" s="114">
        <v>0</v>
      </c>
      <c r="AA12" s="114">
        <v>0</v>
      </c>
      <c r="AB12" s="114">
        <v>0</v>
      </c>
      <c r="AC12" s="114">
        <v>0</v>
      </c>
      <c r="AD12" s="114">
        <v>0</v>
      </c>
      <c r="AE12" s="114">
        <v>3303.7720000000004</v>
      </c>
      <c r="AF12" s="114">
        <v>3303.7720000000004</v>
      </c>
      <c r="AG12" s="1122" t="s">
        <v>835</v>
      </c>
    </row>
    <row r="13" spans="1:36" ht="15.6" customHeight="1" x14ac:dyDescent="0.25">
      <c r="A13" s="738">
        <f t="shared" si="0"/>
        <v>7</v>
      </c>
      <c r="B13" s="1596" t="s">
        <v>488</v>
      </c>
      <c r="C13" s="1597"/>
      <c r="D13" s="1060">
        <v>216844.26383000001</v>
      </c>
      <c r="E13" s="1060">
        <v>48105.760100000007</v>
      </c>
      <c r="F13" s="1060">
        <v>9662.4569999999985</v>
      </c>
      <c r="G13" s="1060">
        <v>1954.0940000000001</v>
      </c>
      <c r="H13" s="1060">
        <v>1116.422</v>
      </c>
      <c r="I13" s="1060">
        <v>1609.8429899999999</v>
      </c>
      <c r="J13" s="1060">
        <v>1966.713</v>
      </c>
      <c r="K13" s="1102">
        <v>281259.55291999999</v>
      </c>
      <c r="L13" s="1062">
        <v>281259.55291999999</v>
      </c>
      <c r="M13" s="750" t="s">
        <v>835</v>
      </c>
      <c r="N13" s="222"/>
      <c r="O13" s="114"/>
      <c r="P13" s="700">
        <v>293404.56253</v>
      </c>
      <c r="Q13" s="1077">
        <f>K13-P13</f>
        <v>-12145.009610000008</v>
      </c>
      <c r="R13" s="591">
        <f>Q13/P13</f>
        <v>-4.1393390427451882E-2</v>
      </c>
      <c r="U13" s="8">
        <v>7</v>
      </c>
      <c r="V13" s="8" t="s">
        <v>488</v>
      </c>
      <c r="X13" s="114">
        <v>189784.84143000003</v>
      </c>
      <c r="Y13" s="114">
        <v>42022.173999999999</v>
      </c>
      <c r="Z13" s="114">
        <v>10746.520469999999</v>
      </c>
      <c r="AA13" s="114">
        <v>1342.01998</v>
      </c>
      <c r="AB13" s="114">
        <v>26156.855019999999</v>
      </c>
      <c r="AC13" s="114">
        <v>11346.281629999998</v>
      </c>
      <c r="AD13" s="114">
        <v>12005.869999999999</v>
      </c>
      <c r="AE13" s="114">
        <v>293404.56253</v>
      </c>
      <c r="AF13" s="114">
        <v>293404.56253</v>
      </c>
      <c r="AG13" s="1122" t="s">
        <v>835</v>
      </c>
    </row>
    <row r="14" spans="1:36" ht="15.75" x14ac:dyDescent="0.25">
      <c r="A14" s="27">
        <f t="shared" si="0"/>
        <v>8</v>
      </c>
      <c r="B14" s="739" t="s">
        <v>362</v>
      </c>
      <c r="C14" s="740" t="s">
        <v>418</v>
      </c>
      <c r="D14" s="1063">
        <v>147450.64199999999</v>
      </c>
      <c r="E14" s="1063">
        <v>0</v>
      </c>
      <c r="F14" s="1063">
        <v>0</v>
      </c>
      <c r="G14" s="1063">
        <v>0</v>
      </c>
      <c r="H14" s="1063">
        <v>0</v>
      </c>
      <c r="I14" s="1063">
        <v>0</v>
      </c>
      <c r="J14" s="1063">
        <v>0</v>
      </c>
      <c r="K14" s="1307">
        <v>147450.64199999999</v>
      </c>
      <c r="L14" s="1064">
        <v>147450.64199999999</v>
      </c>
      <c r="M14" s="751" t="s">
        <v>835</v>
      </c>
      <c r="N14" s="222"/>
      <c r="O14" s="240"/>
      <c r="Q14" s="1078"/>
      <c r="R14" s="1076"/>
      <c r="U14" s="8">
        <v>8</v>
      </c>
      <c r="V14" s="8" t="s">
        <v>362</v>
      </c>
      <c r="W14" s="8" t="s">
        <v>418</v>
      </c>
      <c r="X14" s="114">
        <v>107053.038</v>
      </c>
      <c r="Y14" s="114">
        <v>0</v>
      </c>
      <c r="Z14" s="114">
        <v>3983.2979999999998</v>
      </c>
      <c r="AA14" s="114">
        <v>0</v>
      </c>
      <c r="AB14" s="114">
        <v>0</v>
      </c>
      <c r="AC14" s="114">
        <v>0</v>
      </c>
      <c r="AD14" s="114">
        <v>0</v>
      </c>
      <c r="AE14" s="114">
        <v>111036.336</v>
      </c>
      <c r="AF14" s="114">
        <v>111036.336</v>
      </c>
      <c r="AG14" s="1122" t="s">
        <v>835</v>
      </c>
    </row>
    <row r="15" spans="1:36" ht="15.6" customHeight="1" x14ac:dyDescent="0.25">
      <c r="A15" s="738">
        <f t="shared" si="0"/>
        <v>9</v>
      </c>
      <c r="B15" s="1596" t="s">
        <v>419</v>
      </c>
      <c r="C15" s="1597"/>
      <c r="D15" s="1065">
        <v>138580.12047999998</v>
      </c>
      <c r="E15" s="1065">
        <v>1404.8234</v>
      </c>
      <c r="F15" s="1065">
        <v>0</v>
      </c>
      <c r="G15" s="1065">
        <v>0</v>
      </c>
      <c r="H15" s="1065">
        <v>0</v>
      </c>
      <c r="I15" s="1065">
        <v>2779.1334400000001</v>
      </c>
      <c r="J15" s="1065">
        <v>0</v>
      </c>
      <c r="K15" s="1102">
        <v>142764.07731999998</v>
      </c>
      <c r="L15" s="1062">
        <v>142764.07731999998</v>
      </c>
      <c r="M15" s="750" t="s">
        <v>835</v>
      </c>
      <c r="N15" s="222"/>
      <c r="O15" s="240"/>
      <c r="Q15" s="1078"/>
      <c r="R15" s="1076"/>
      <c r="U15" s="8">
        <v>9</v>
      </c>
      <c r="V15" s="8" t="s">
        <v>419</v>
      </c>
      <c r="X15" s="114">
        <v>33058.788309999996</v>
      </c>
      <c r="Y15" s="114">
        <v>2181.0135</v>
      </c>
      <c r="Z15" s="114">
        <v>304.76398999999998</v>
      </c>
      <c r="AA15" s="114">
        <v>169.82561000000001</v>
      </c>
      <c r="AB15" s="114">
        <v>493</v>
      </c>
      <c r="AC15" s="114">
        <v>81845.950319999989</v>
      </c>
      <c r="AD15" s="114">
        <v>49</v>
      </c>
      <c r="AE15" s="114">
        <v>118102.34172999999</v>
      </c>
      <c r="AF15" s="114">
        <v>118102.34172999999</v>
      </c>
      <c r="AG15" s="1122" t="s">
        <v>835</v>
      </c>
    </row>
    <row r="16" spans="1:36" ht="15.75" x14ac:dyDescent="0.25">
      <c r="A16" s="741">
        <f t="shared" si="0"/>
        <v>10</v>
      </c>
      <c r="B16" s="742" t="s">
        <v>362</v>
      </c>
      <c r="C16" s="743" t="s">
        <v>1295</v>
      </c>
      <c r="D16" s="1066">
        <v>0</v>
      </c>
      <c r="E16" s="1067">
        <v>0</v>
      </c>
      <c r="F16" s="1067">
        <v>0</v>
      </c>
      <c r="G16" s="1067">
        <v>0</v>
      </c>
      <c r="H16" s="1067">
        <v>0</v>
      </c>
      <c r="I16" s="1067">
        <v>0</v>
      </c>
      <c r="J16" s="1067">
        <v>0</v>
      </c>
      <c r="K16" s="1308">
        <v>0</v>
      </c>
      <c r="L16" s="1068">
        <v>0</v>
      </c>
      <c r="M16" s="752" t="s">
        <v>835</v>
      </c>
      <c r="N16" s="222"/>
      <c r="O16" s="240"/>
      <c r="Q16" s="1078"/>
      <c r="R16" s="1076"/>
      <c r="U16" s="8">
        <v>10</v>
      </c>
      <c r="V16" s="8" t="s">
        <v>362</v>
      </c>
      <c r="W16" s="8" t="s">
        <v>1184</v>
      </c>
      <c r="X16" s="114">
        <v>0</v>
      </c>
      <c r="Y16" s="114">
        <v>0</v>
      </c>
      <c r="Z16" s="114">
        <v>0</v>
      </c>
      <c r="AA16" s="114">
        <v>0</v>
      </c>
      <c r="AB16" s="114">
        <v>0</v>
      </c>
      <c r="AC16" s="114">
        <v>0</v>
      </c>
      <c r="AD16" s="114">
        <v>0</v>
      </c>
      <c r="AE16" s="114">
        <v>0</v>
      </c>
      <c r="AF16" s="114">
        <v>0</v>
      </c>
      <c r="AG16" s="1122" t="s">
        <v>835</v>
      </c>
    </row>
    <row r="17" spans="1:33" ht="15.75" x14ac:dyDescent="0.25">
      <c r="A17" s="741">
        <f>A16+1</f>
        <v>11</v>
      </c>
      <c r="B17" s="742"/>
      <c r="C17" s="743" t="s">
        <v>1184</v>
      </c>
      <c r="D17" s="1066">
        <v>58</v>
      </c>
      <c r="E17" s="1066">
        <v>0</v>
      </c>
      <c r="F17" s="1066">
        <v>0</v>
      </c>
      <c r="G17" s="1066">
        <v>0</v>
      </c>
      <c r="H17" s="1066">
        <v>0</v>
      </c>
      <c r="I17" s="1066">
        <v>0</v>
      </c>
      <c r="J17" s="1066">
        <v>0</v>
      </c>
      <c r="K17" s="1309">
        <v>58</v>
      </c>
      <c r="L17" s="1068">
        <v>58</v>
      </c>
      <c r="M17" s="752" t="s">
        <v>835</v>
      </c>
      <c r="N17" s="222"/>
      <c r="O17" s="240"/>
      <c r="Q17" s="1078"/>
      <c r="R17" s="1076"/>
      <c r="X17" s="114"/>
      <c r="Y17" s="114"/>
      <c r="Z17" s="114"/>
      <c r="AA17" s="114"/>
      <c r="AB17" s="114"/>
      <c r="AC17" s="114"/>
      <c r="AD17" s="114"/>
      <c r="AE17" s="114"/>
      <c r="AF17" s="114"/>
      <c r="AG17" s="1122"/>
    </row>
    <row r="18" spans="1:33" ht="15.75" x14ac:dyDescent="0.25">
      <c r="A18" s="744">
        <f>A17+1</f>
        <v>12</v>
      </c>
      <c r="B18" s="742"/>
      <c r="C18" s="745" t="s">
        <v>846</v>
      </c>
      <c r="D18" s="1063">
        <v>106590.3664</v>
      </c>
      <c r="E18" s="1063">
        <v>0</v>
      </c>
      <c r="F18" s="1063">
        <v>0</v>
      </c>
      <c r="G18" s="1063">
        <v>0</v>
      </c>
      <c r="H18" s="1063">
        <v>0</v>
      </c>
      <c r="I18" s="1063">
        <v>0</v>
      </c>
      <c r="J18" s="1063">
        <v>0</v>
      </c>
      <c r="K18" s="1307">
        <v>106590.3664</v>
      </c>
      <c r="L18" s="1069">
        <v>106590.3664</v>
      </c>
      <c r="M18" s="753" t="s">
        <v>835</v>
      </c>
      <c r="N18" s="222"/>
      <c r="O18" s="240"/>
      <c r="Q18" s="1078"/>
      <c r="R18" s="1076"/>
      <c r="U18" s="8">
        <v>11</v>
      </c>
      <c r="W18" s="8" t="s">
        <v>846</v>
      </c>
      <c r="X18" s="114">
        <v>25073.974129999999</v>
      </c>
      <c r="Y18" s="114">
        <v>0</v>
      </c>
      <c r="Z18" s="114">
        <v>0</v>
      </c>
      <c r="AA18" s="114">
        <v>0</v>
      </c>
      <c r="AB18" s="114">
        <v>0</v>
      </c>
      <c r="AC18" s="114">
        <v>80091.14065999999</v>
      </c>
      <c r="AD18" s="114">
        <v>0</v>
      </c>
      <c r="AE18" s="114">
        <v>105165.11478999999</v>
      </c>
      <c r="AF18" s="114">
        <v>105165.11478999999</v>
      </c>
      <c r="AG18" s="1122" t="s">
        <v>835</v>
      </c>
    </row>
    <row r="19" spans="1:33" ht="12.75" customHeight="1" x14ac:dyDescent="0.25">
      <c r="A19" s="738">
        <f t="shared" si="0"/>
        <v>13</v>
      </c>
      <c r="B19" s="1596" t="s">
        <v>420</v>
      </c>
      <c r="C19" s="1597"/>
      <c r="D19" s="1065">
        <v>25759.281999999999</v>
      </c>
      <c r="E19" s="1065">
        <v>6.9</v>
      </c>
      <c r="F19" s="1065">
        <v>22.844000000000001</v>
      </c>
      <c r="G19" s="1065">
        <v>0</v>
      </c>
      <c r="H19" s="1065">
        <v>0</v>
      </c>
      <c r="I19" s="1065">
        <v>11259.905000000001</v>
      </c>
      <c r="J19" s="1065">
        <v>0</v>
      </c>
      <c r="K19" s="1102">
        <v>37048.931000000004</v>
      </c>
      <c r="L19" s="1062">
        <v>37048.931000000004</v>
      </c>
      <c r="M19" s="750" t="s">
        <v>835</v>
      </c>
      <c r="N19" s="222"/>
      <c r="O19" s="240"/>
      <c r="Q19" s="1078"/>
      <c r="R19" s="1076"/>
      <c r="U19" s="8">
        <v>12</v>
      </c>
      <c r="V19" s="8" t="s">
        <v>420</v>
      </c>
      <c r="X19" s="114">
        <v>20620.802</v>
      </c>
      <c r="Y19" s="114">
        <v>106.5</v>
      </c>
      <c r="Z19" s="114">
        <v>0.76</v>
      </c>
      <c r="AA19" s="114">
        <v>0</v>
      </c>
      <c r="AB19" s="114">
        <v>0</v>
      </c>
      <c r="AC19" s="114">
        <v>13929.557559999999</v>
      </c>
      <c r="AD19" s="114">
        <v>0</v>
      </c>
      <c r="AE19" s="114">
        <v>34657.619559999999</v>
      </c>
      <c r="AF19" s="114">
        <v>34657.619559999999</v>
      </c>
      <c r="AG19" s="1122" t="s">
        <v>835</v>
      </c>
    </row>
    <row r="20" spans="1:33" ht="15.75" x14ac:dyDescent="0.25">
      <c r="A20" s="741">
        <f t="shared" si="0"/>
        <v>14</v>
      </c>
      <c r="B20" s="742" t="s">
        <v>362</v>
      </c>
      <c r="C20" s="743" t="s">
        <v>1296</v>
      </c>
      <c r="D20" s="1066">
        <v>0</v>
      </c>
      <c r="E20" s="1066">
        <v>0</v>
      </c>
      <c r="F20" s="1066">
        <v>0</v>
      </c>
      <c r="G20" s="1066">
        <v>0</v>
      </c>
      <c r="H20" s="1066">
        <v>0</v>
      </c>
      <c r="I20" s="1066">
        <v>0</v>
      </c>
      <c r="J20" s="1066">
        <v>0</v>
      </c>
      <c r="K20" s="1310">
        <v>0</v>
      </c>
      <c r="L20" s="1068">
        <v>0</v>
      </c>
      <c r="M20" s="752" t="s">
        <v>835</v>
      </c>
      <c r="N20" s="222"/>
      <c r="O20" s="240"/>
      <c r="Q20" s="1078"/>
      <c r="R20" s="1076"/>
      <c r="U20" s="8">
        <v>13</v>
      </c>
      <c r="V20" s="8" t="s">
        <v>362</v>
      </c>
      <c r="W20" s="8" t="s">
        <v>1184</v>
      </c>
      <c r="X20" s="114">
        <v>840.4</v>
      </c>
      <c r="Y20" s="114">
        <v>0</v>
      </c>
      <c r="Z20" s="114">
        <v>0</v>
      </c>
      <c r="AA20" s="114">
        <v>0</v>
      </c>
      <c r="AB20" s="114">
        <v>0</v>
      </c>
      <c r="AC20" s="114">
        <v>0</v>
      </c>
      <c r="AD20" s="114">
        <v>0</v>
      </c>
      <c r="AE20" s="114">
        <v>840.4</v>
      </c>
      <c r="AF20" s="114">
        <v>840.4</v>
      </c>
      <c r="AG20" s="1122" t="s">
        <v>835</v>
      </c>
    </row>
    <row r="21" spans="1:33" ht="15.75" x14ac:dyDescent="0.25">
      <c r="A21" s="741">
        <f>A20+1</f>
        <v>15</v>
      </c>
      <c r="B21" s="742"/>
      <c r="C21" s="743" t="s">
        <v>1184</v>
      </c>
      <c r="D21" s="1066">
        <v>660</v>
      </c>
      <c r="E21" s="1066">
        <v>0</v>
      </c>
      <c r="F21" s="1066">
        <v>0</v>
      </c>
      <c r="G21" s="1066">
        <v>0</v>
      </c>
      <c r="H21" s="1066">
        <v>0</v>
      </c>
      <c r="I21" s="1066">
        <v>0</v>
      </c>
      <c r="J21" s="1066">
        <v>0</v>
      </c>
      <c r="K21" s="1310">
        <v>660</v>
      </c>
      <c r="L21" s="1068">
        <v>660</v>
      </c>
      <c r="M21" s="752" t="s">
        <v>835</v>
      </c>
      <c r="N21" s="222"/>
      <c r="O21" s="240"/>
      <c r="Q21" s="1078"/>
      <c r="R21" s="1076"/>
      <c r="X21" s="114"/>
      <c r="Y21" s="114"/>
      <c r="Z21" s="114"/>
      <c r="AA21" s="114"/>
      <c r="AB21" s="114"/>
      <c r="AC21" s="114"/>
      <c r="AD21" s="114"/>
      <c r="AE21" s="114"/>
      <c r="AF21" s="114"/>
      <c r="AG21" s="1122"/>
    </row>
    <row r="22" spans="1:33" ht="15.75" x14ac:dyDescent="0.25">
      <c r="A22" s="741">
        <f>A21+1</f>
        <v>16</v>
      </c>
      <c r="B22" s="742"/>
      <c r="C22" s="743" t="s">
        <v>847</v>
      </c>
      <c r="D22" s="1066">
        <v>5905</v>
      </c>
      <c r="E22" s="1066">
        <v>6.9</v>
      </c>
      <c r="F22" s="1066">
        <v>0</v>
      </c>
      <c r="G22" s="1066">
        <v>0</v>
      </c>
      <c r="H22" s="1066">
        <v>0</v>
      </c>
      <c r="I22" s="1066">
        <v>0</v>
      </c>
      <c r="J22" s="1066">
        <v>0</v>
      </c>
      <c r="K22" s="1310">
        <v>5911.9</v>
      </c>
      <c r="L22" s="1068">
        <v>5911.9</v>
      </c>
      <c r="M22" s="752" t="s">
        <v>835</v>
      </c>
      <c r="N22" s="222"/>
      <c r="O22" s="240"/>
      <c r="Q22" s="1078"/>
      <c r="R22" s="1076"/>
      <c r="U22" s="8">
        <v>14</v>
      </c>
      <c r="W22" s="8" t="s">
        <v>847</v>
      </c>
      <c r="X22" s="114">
        <v>12172.61</v>
      </c>
      <c r="Y22" s="114">
        <v>0</v>
      </c>
      <c r="Z22" s="114">
        <v>0</v>
      </c>
      <c r="AA22" s="114">
        <v>0</v>
      </c>
      <c r="AB22" s="114">
        <v>0</v>
      </c>
      <c r="AC22" s="114">
        <v>0</v>
      </c>
      <c r="AD22" s="114">
        <v>0</v>
      </c>
      <c r="AE22" s="114">
        <v>12172.61</v>
      </c>
      <c r="AF22" s="114">
        <v>12172.61</v>
      </c>
      <c r="AG22" s="1122" t="s">
        <v>835</v>
      </c>
    </row>
    <row r="23" spans="1:33" ht="15.6" customHeight="1" x14ac:dyDescent="0.25">
      <c r="A23" s="738">
        <f>A22+1</f>
        <v>17</v>
      </c>
      <c r="B23" s="1596" t="s">
        <v>421</v>
      </c>
      <c r="C23" s="1597"/>
      <c r="D23" s="1065">
        <v>448121.34700000001</v>
      </c>
      <c r="E23" s="1065">
        <v>13461.67448</v>
      </c>
      <c r="F23" s="1065">
        <v>7554.4459999999999</v>
      </c>
      <c r="G23" s="1065">
        <v>0</v>
      </c>
      <c r="H23" s="1065">
        <v>0</v>
      </c>
      <c r="I23" s="1065">
        <v>0</v>
      </c>
      <c r="J23" s="1065">
        <v>0</v>
      </c>
      <c r="K23" s="1102">
        <v>469137.46747999999</v>
      </c>
      <c r="L23" s="1062">
        <v>469137.46747999999</v>
      </c>
      <c r="M23" s="750" t="s">
        <v>835</v>
      </c>
      <c r="N23" s="222"/>
      <c r="O23" s="114"/>
      <c r="P23" s="700">
        <v>515161.56037999998</v>
      </c>
      <c r="Q23" s="1077">
        <f>K23-P23</f>
        <v>-46024.092899999989</v>
      </c>
      <c r="R23" s="591">
        <f>Q23/P23</f>
        <v>-8.9339144143540355E-2</v>
      </c>
      <c r="U23" s="8">
        <v>15</v>
      </c>
      <c r="V23" s="8" t="s">
        <v>421</v>
      </c>
      <c r="X23" s="114">
        <v>497731.11878999998</v>
      </c>
      <c r="Y23" s="114">
        <v>15385.078380000001</v>
      </c>
      <c r="Z23" s="114">
        <v>2045.3632100000002</v>
      </c>
      <c r="AA23" s="114">
        <v>0</v>
      </c>
      <c r="AB23" s="114">
        <v>0</v>
      </c>
      <c r="AC23" s="114">
        <v>0</v>
      </c>
      <c r="AD23" s="114">
        <v>0</v>
      </c>
      <c r="AE23" s="114">
        <v>515161.56037999998</v>
      </c>
      <c r="AF23" s="114">
        <v>515161.56037999998</v>
      </c>
      <c r="AG23" s="1122" t="s">
        <v>835</v>
      </c>
    </row>
    <row r="24" spans="1:33" ht="15.6" customHeight="1" x14ac:dyDescent="0.25">
      <c r="A24" s="738">
        <f t="shared" si="0"/>
        <v>18</v>
      </c>
      <c r="B24" s="1596" t="s">
        <v>492</v>
      </c>
      <c r="C24" s="1597"/>
      <c r="D24" s="1065">
        <v>15079.610860000001</v>
      </c>
      <c r="E24" s="1065">
        <v>11382.694</v>
      </c>
      <c r="F24" s="1065">
        <v>2451.933</v>
      </c>
      <c r="G24" s="1065">
        <v>371.20440000000002</v>
      </c>
      <c r="H24" s="1065">
        <v>15.4625</v>
      </c>
      <c r="I24" s="1065">
        <v>189.7835</v>
      </c>
      <c r="J24" s="1065">
        <v>508.83600000000001</v>
      </c>
      <c r="K24" s="1102">
        <v>29999.524260000002</v>
      </c>
      <c r="L24" s="1062">
        <v>29999.524260000002</v>
      </c>
      <c r="M24" s="750" t="s">
        <v>835</v>
      </c>
      <c r="N24" s="222"/>
      <c r="O24" s="240"/>
      <c r="U24" s="8">
        <v>16</v>
      </c>
      <c r="V24" s="8" t="s">
        <v>492</v>
      </c>
      <c r="X24" s="114">
        <v>10704.708000000001</v>
      </c>
      <c r="Y24" s="114">
        <v>22089.956000000002</v>
      </c>
      <c r="Z24" s="114">
        <v>1824.6302000000001</v>
      </c>
      <c r="AA24" s="114">
        <v>846.32591000000002</v>
      </c>
      <c r="AB24" s="114">
        <v>65.408000000000001</v>
      </c>
      <c r="AC24" s="114">
        <v>990.7</v>
      </c>
      <c r="AD24" s="114">
        <v>374.048</v>
      </c>
      <c r="AE24" s="114">
        <v>36895.776110000006</v>
      </c>
      <c r="AF24" s="114">
        <v>36895.776110000006</v>
      </c>
      <c r="AG24" s="1122" t="s">
        <v>835</v>
      </c>
    </row>
    <row r="25" spans="1:33" ht="15.6" customHeight="1" x14ac:dyDescent="0.25">
      <c r="A25" s="741">
        <f t="shared" si="0"/>
        <v>19</v>
      </c>
      <c r="B25" s="1606" t="s">
        <v>848</v>
      </c>
      <c r="C25" s="743" t="s">
        <v>847</v>
      </c>
      <c r="D25" s="1067">
        <v>10628</v>
      </c>
      <c r="E25" s="1067">
        <v>0</v>
      </c>
      <c r="F25" s="1067">
        <v>0</v>
      </c>
      <c r="G25" s="1067">
        <v>0</v>
      </c>
      <c r="H25" s="1067">
        <v>0</v>
      </c>
      <c r="I25" s="1067">
        <v>0</v>
      </c>
      <c r="J25" s="1067">
        <v>0</v>
      </c>
      <c r="K25" s="1310">
        <v>10628</v>
      </c>
      <c r="L25" s="1068">
        <v>10628</v>
      </c>
      <c r="M25" s="752" t="s">
        <v>835</v>
      </c>
      <c r="N25" s="222"/>
      <c r="O25" s="240"/>
      <c r="U25" s="8">
        <v>17</v>
      </c>
      <c r="V25" s="8" t="s">
        <v>848</v>
      </c>
      <c r="W25" s="8" t="s">
        <v>847</v>
      </c>
      <c r="X25" s="114">
        <v>3885</v>
      </c>
      <c r="Y25" s="114">
        <v>0</v>
      </c>
      <c r="Z25" s="114">
        <v>0</v>
      </c>
      <c r="AA25" s="114">
        <v>0</v>
      </c>
      <c r="AB25" s="114">
        <v>0</v>
      </c>
      <c r="AC25" s="114">
        <v>0</v>
      </c>
      <c r="AD25" s="114">
        <v>0</v>
      </c>
      <c r="AE25" s="114">
        <v>3885</v>
      </c>
      <c r="AF25" s="114">
        <v>3885</v>
      </c>
      <c r="AG25" s="1122" t="s">
        <v>835</v>
      </c>
    </row>
    <row r="26" spans="1:33" ht="15.75" x14ac:dyDescent="0.25">
      <c r="A26" s="744">
        <f t="shared" si="0"/>
        <v>20</v>
      </c>
      <c r="B26" s="1606"/>
      <c r="C26" s="745" t="s">
        <v>849</v>
      </c>
      <c r="D26" s="1067">
        <v>0</v>
      </c>
      <c r="E26" s="1067">
        <v>0</v>
      </c>
      <c r="F26" s="1067">
        <v>0.2</v>
      </c>
      <c r="G26" s="1067">
        <v>0</v>
      </c>
      <c r="H26" s="1067">
        <v>0</v>
      </c>
      <c r="I26" s="1067">
        <v>0</v>
      </c>
      <c r="J26" s="1067">
        <v>0</v>
      </c>
      <c r="K26" s="1311">
        <v>0.2</v>
      </c>
      <c r="L26" s="1069">
        <v>0.2</v>
      </c>
      <c r="M26" s="753" t="s">
        <v>835</v>
      </c>
      <c r="N26" s="222"/>
      <c r="O26" s="240"/>
      <c r="U26" s="8">
        <v>18</v>
      </c>
      <c r="W26" s="8" t="s">
        <v>849</v>
      </c>
      <c r="X26" s="114">
        <v>716</v>
      </c>
      <c r="Y26" s="114">
        <v>0</v>
      </c>
      <c r="Z26" s="114">
        <v>0</v>
      </c>
      <c r="AA26" s="114">
        <v>0</v>
      </c>
      <c r="AB26" s="114">
        <v>0</v>
      </c>
      <c r="AC26" s="114">
        <v>0</v>
      </c>
      <c r="AD26" s="114">
        <v>0</v>
      </c>
      <c r="AE26" s="114">
        <v>716</v>
      </c>
      <c r="AF26" s="114">
        <v>716</v>
      </c>
      <c r="AG26" s="1122" t="s">
        <v>835</v>
      </c>
    </row>
    <row r="27" spans="1:33" ht="16.5" thickBot="1" x14ac:dyDescent="0.3">
      <c r="A27" s="733">
        <f t="shared" si="0"/>
        <v>21</v>
      </c>
      <c r="B27" s="1607"/>
      <c r="C27" s="746" t="s">
        <v>850</v>
      </c>
      <c r="D27" s="1070">
        <v>4451.6108600000007</v>
      </c>
      <c r="E27" s="1070">
        <v>11382.694</v>
      </c>
      <c r="F27" s="1070">
        <v>2436.6980000000003</v>
      </c>
      <c r="G27" s="1070">
        <v>371.20440000000002</v>
      </c>
      <c r="H27" s="1070">
        <v>15.4625</v>
      </c>
      <c r="I27" s="1070">
        <v>189.7835</v>
      </c>
      <c r="J27" s="1070">
        <v>508.83600000000001</v>
      </c>
      <c r="K27" s="1312">
        <v>19356.289260000001</v>
      </c>
      <c r="L27" s="1071">
        <v>19356.289260000001</v>
      </c>
      <c r="M27" s="754" t="s">
        <v>835</v>
      </c>
      <c r="N27" s="222"/>
      <c r="O27" s="240"/>
      <c r="U27" s="8">
        <v>19</v>
      </c>
      <c r="W27" s="8" t="s">
        <v>850</v>
      </c>
      <c r="X27" s="114">
        <v>4594.3519999999999</v>
      </c>
      <c r="Y27" s="114">
        <v>22089.956000000002</v>
      </c>
      <c r="Z27" s="114">
        <v>1326.6102000000001</v>
      </c>
      <c r="AA27" s="114">
        <v>796.32591000000002</v>
      </c>
      <c r="AB27" s="114">
        <v>3.2</v>
      </c>
      <c r="AC27" s="114">
        <v>990.7</v>
      </c>
      <c r="AD27" s="114">
        <v>374.048</v>
      </c>
      <c r="AE27" s="114">
        <v>30175.19211</v>
      </c>
      <c r="AF27" s="114">
        <v>30175.19211</v>
      </c>
      <c r="AG27" s="1122" t="s">
        <v>835</v>
      </c>
    </row>
    <row r="28" spans="1:33" hidden="1" x14ac:dyDescent="0.25">
      <c r="C28" s="161" t="s">
        <v>826</v>
      </c>
      <c r="E28" s="1189">
        <f>E7-'11.c'!C9</f>
        <v>0</v>
      </c>
      <c r="F28" s="163"/>
    </row>
    <row r="29" spans="1:33" ht="10.5" customHeight="1" x14ac:dyDescent="0.25">
      <c r="C29" s="161"/>
      <c r="E29" s="496"/>
      <c r="F29" s="163"/>
    </row>
    <row r="30" spans="1:33" x14ac:dyDescent="0.25">
      <c r="A30" s="5" t="s">
        <v>467</v>
      </c>
    </row>
    <row r="31" spans="1:33" x14ac:dyDescent="0.25">
      <c r="A31" s="7" t="s">
        <v>915</v>
      </c>
      <c r="B31" s="223"/>
      <c r="C31" s="223"/>
    </row>
    <row r="32" spans="1:33" ht="13.15" customHeight="1" x14ac:dyDescent="0.25">
      <c r="A32" s="7"/>
      <c r="B32" s="170"/>
      <c r="C32" s="170"/>
      <c r="D32" s="170"/>
      <c r="E32" s="170"/>
      <c r="F32" s="170"/>
      <c r="G32" s="170"/>
      <c r="H32" s="170"/>
      <c r="I32" s="170"/>
      <c r="J32" s="170"/>
      <c r="K32" s="170"/>
      <c r="L32" s="170"/>
      <c r="M32" s="170"/>
    </row>
    <row r="33" spans="1:4" x14ac:dyDescent="0.25">
      <c r="A33" s="7"/>
      <c r="B33" s="7"/>
      <c r="C33" s="7"/>
      <c r="D33" s="7"/>
    </row>
    <row r="34" spans="1:4" x14ac:dyDescent="0.25">
      <c r="A34" s="7"/>
      <c r="B34" s="7"/>
      <c r="C34" s="7"/>
      <c r="D34" s="7"/>
    </row>
  </sheetData>
  <sheetProtection insertColumns="0" insertRows="0" deleteColumns="0" deleteRows="0"/>
  <mergeCells count="28">
    <mergeCell ref="A3:A6"/>
    <mergeCell ref="B3:C6"/>
    <mergeCell ref="D3:K3"/>
    <mergeCell ref="L3:M3"/>
    <mergeCell ref="D4:D5"/>
    <mergeCell ref="E4:E5"/>
    <mergeCell ref="F4:J4"/>
    <mergeCell ref="K4:K5"/>
    <mergeCell ref="L4:L5"/>
    <mergeCell ref="M4:M5"/>
    <mergeCell ref="B24:C24"/>
    <mergeCell ref="B25:B27"/>
    <mergeCell ref="F6:J6"/>
    <mergeCell ref="B8:C8"/>
    <mergeCell ref="B9:C9"/>
    <mergeCell ref="B10:C10"/>
    <mergeCell ref="B11:C11"/>
    <mergeCell ref="B12:C12"/>
    <mergeCell ref="AE4:AE5"/>
    <mergeCell ref="B13:C13"/>
    <mergeCell ref="B15:C15"/>
    <mergeCell ref="B19:C19"/>
    <mergeCell ref="B23:C23"/>
    <mergeCell ref="V4:V5"/>
    <mergeCell ref="W4:W5"/>
    <mergeCell ref="X4:AB4"/>
    <mergeCell ref="AC4:AC5"/>
    <mergeCell ref="AD4:AD5"/>
  </mergeCells>
  <printOptions horizontalCentered="1"/>
  <pageMargins left="0" right="0" top="0.59055118110236227" bottom="0.39370078740157483" header="0.23622047244094491" footer="0.51181102362204722"/>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V151"/>
  <sheetViews>
    <sheetView zoomScaleNormal="100" zoomScaleSheetLayoutView="100" workbookViewId="0">
      <pane xSplit="1" ySplit="6" topLeftCell="B135" activePane="bottomRight" state="frozen"/>
      <selection activeCell="D18" sqref="D18"/>
      <selection pane="topRight" activeCell="D18" sqref="D18"/>
      <selection pane="bottomLeft" activeCell="D18" sqref="D18"/>
      <selection pane="bottomRight" activeCell="B151" sqref="B151"/>
    </sheetView>
  </sheetViews>
  <sheetFormatPr defaultColWidth="9.140625" defaultRowHeight="12.75" x14ac:dyDescent="0.25"/>
  <cols>
    <col min="1" max="1" width="76.140625" style="19" customWidth="1"/>
    <col min="2" max="2" width="13" style="81" customWidth="1"/>
    <col min="3" max="3" width="7.42578125" style="81" customWidth="1"/>
    <col min="4" max="4" width="10.5703125" style="78" customWidth="1"/>
    <col min="5" max="5" width="12.5703125" style="78" customWidth="1"/>
    <col min="6" max="6" width="9.140625" style="19" customWidth="1"/>
    <col min="7" max="7" width="9.5703125" style="19" customWidth="1"/>
    <col min="8" max="8" width="14" style="19" customWidth="1"/>
    <col min="9" max="9" width="14.140625" style="19" customWidth="1"/>
    <col min="10" max="10" width="9.85546875" style="19" customWidth="1"/>
    <col min="11" max="12" width="9.140625" style="19" customWidth="1"/>
    <col min="13" max="15" width="9.85546875" style="19" customWidth="1"/>
    <col min="16" max="16" width="9.140625" style="19" customWidth="1"/>
    <col min="17" max="17" width="10.140625" style="19" customWidth="1"/>
    <col min="18" max="18" width="9.140625" style="19" customWidth="1"/>
    <col min="19" max="19" width="10.28515625" style="19" customWidth="1"/>
    <col min="20" max="20" width="10.140625" style="19" customWidth="1"/>
    <col min="21" max="24" width="9.140625" style="19" customWidth="1"/>
    <col min="25" max="16384" width="9.140625" style="19"/>
  </cols>
  <sheetData>
    <row r="1" spans="1:13" ht="26.25" x14ac:dyDescent="0.25">
      <c r="A1" s="1316" t="s">
        <v>1028</v>
      </c>
      <c r="B1" s="1316"/>
      <c r="C1" s="1316"/>
      <c r="D1" s="1316"/>
      <c r="E1" s="1316"/>
    </row>
    <row r="2" spans="1:13" ht="12.75" customHeight="1" thickBot="1" x14ac:dyDescent="0.3">
      <c r="A2" s="1317"/>
      <c r="B2" s="1317"/>
      <c r="C2" s="1317"/>
      <c r="D2" s="1317"/>
      <c r="E2" s="1317"/>
    </row>
    <row r="3" spans="1:13" ht="27.95" customHeight="1" thickBot="1" x14ac:dyDescent="0.3">
      <c r="A3" s="1318" t="s">
        <v>627</v>
      </c>
      <c r="B3" s="1319"/>
      <c r="C3" s="1319"/>
      <c r="D3" s="1319"/>
      <c r="E3" s="1320"/>
    </row>
    <row r="4" spans="1:13" ht="12.75" customHeight="1" thickBot="1" x14ac:dyDescent="0.3">
      <c r="A4" s="1321" t="s">
        <v>440</v>
      </c>
      <c r="B4" s="1322"/>
      <c r="C4" s="1322"/>
      <c r="D4" s="1322"/>
      <c r="E4" s="1323"/>
    </row>
    <row r="5" spans="1:13" ht="22.5" customHeight="1" thickBot="1" x14ac:dyDescent="0.3">
      <c r="A5" s="53" t="s">
        <v>628</v>
      </c>
      <c r="B5" s="54" t="s">
        <v>564</v>
      </c>
      <c r="C5" s="55" t="s">
        <v>565</v>
      </c>
      <c r="D5" s="56" t="s">
        <v>762</v>
      </c>
      <c r="E5" s="57" t="s">
        <v>763</v>
      </c>
    </row>
    <row r="6" spans="1:13" ht="12.75" customHeight="1" x14ac:dyDescent="0.25">
      <c r="A6" s="86" t="s">
        <v>0</v>
      </c>
      <c r="B6" s="1324"/>
      <c r="C6" s="1325"/>
      <c r="D6" s="59" t="s">
        <v>429</v>
      </c>
      <c r="E6" s="60" t="s">
        <v>430</v>
      </c>
      <c r="G6" s="19" t="s">
        <v>1266</v>
      </c>
      <c r="H6" s="102" t="s">
        <v>1113</v>
      </c>
    </row>
    <row r="7" spans="1:13" ht="12.75" customHeight="1" x14ac:dyDescent="0.25">
      <c r="A7" s="61" t="s">
        <v>1</v>
      </c>
      <c r="B7" s="62" t="s">
        <v>629</v>
      </c>
      <c r="C7" s="63" t="s">
        <v>2</v>
      </c>
      <c r="D7" s="374">
        <f>D8+D16+D27+D34</f>
        <v>16412914</v>
      </c>
      <c r="E7" s="375">
        <f>E8+E16+E27+E34</f>
        <v>18335779</v>
      </c>
      <c r="G7" s="78">
        <f>E7-D7</f>
        <v>1922865</v>
      </c>
      <c r="H7" s="724">
        <f>G7/D7</f>
        <v>0.1171556129520937</v>
      </c>
      <c r="M7" s="78">
        <f>E16+E40+E41+E44+E45</f>
        <v>18172524</v>
      </c>
    </row>
    <row r="8" spans="1:13" ht="12.75" customHeight="1" x14ac:dyDescent="0.25">
      <c r="A8" s="61" t="s">
        <v>3</v>
      </c>
      <c r="B8" s="62" t="s">
        <v>4</v>
      </c>
      <c r="C8" s="63" t="s">
        <v>5</v>
      </c>
      <c r="D8" s="376">
        <f>SUM(D9:D15)</f>
        <v>540258</v>
      </c>
      <c r="E8" s="377">
        <f>SUM(E9:E15)</f>
        <v>643469</v>
      </c>
      <c r="G8" s="725">
        <f>E8-D8</f>
        <v>103211</v>
      </c>
      <c r="H8" s="726">
        <f>G8/D8</f>
        <v>0.19104020671605049</v>
      </c>
    </row>
    <row r="9" spans="1:13" ht="12.75" customHeight="1" x14ac:dyDescent="0.25">
      <c r="A9" s="61" t="s">
        <v>6</v>
      </c>
      <c r="B9" s="62" t="s">
        <v>7</v>
      </c>
      <c r="C9" s="63" t="s">
        <v>8</v>
      </c>
      <c r="D9" s="378">
        <v>0</v>
      </c>
      <c r="E9" s="379">
        <v>0</v>
      </c>
      <c r="G9" s="725"/>
      <c r="H9" s="726"/>
    </row>
    <row r="10" spans="1:13" ht="12.75" customHeight="1" x14ac:dyDescent="0.25">
      <c r="A10" s="61" t="s">
        <v>9</v>
      </c>
      <c r="B10" s="62" t="s">
        <v>10</v>
      </c>
      <c r="C10" s="63" t="s">
        <v>11</v>
      </c>
      <c r="D10" s="378">
        <v>532640</v>
      </c>
      <c r="E10" s="379">
        <v>634856</v>
      </c>
      <c r="G10" s="725">
        <f>E10-D10</f>
        <v>102216</v>
      </c>
      <c r="H10" s="726">
        <f>G10/D10</f>
        <v>0.19190447581856412</v>
      </c>
      <c r="J10" s="724">
        <f>E10/E8</f>
        <v>0.98661473979321457</v>
      </c>
    </row>
    <row r="11" spans="1:13" ht="12.75" customHeight="1" x14ac:dyDescent="0.25">
      <c r="A11" s="61" t="s">
        <v>12</v>
      </c>
      <c r="B11" s="62" t="s">
        <v>13</v>
      </c>
      <c r="C11" s="63" t="s">
        <v>14</v>
      </c>
      <c r="D11" s="378">
        <v>0</v>
      </c>
      <c r="E11" s="379">
        <v>0</v>
      </c>
      <c r="G11" s="725"/>
      <c r="H11" s="726"/>
    </row>
    <row r="12" spans="1:13" ht="12.75" customHeight="1" x14ac:dyDescent="0.25">
      <c r="A12" s="61" t="s">
        <v>15</v>
      </c>
      <c r="B12" s="62" t="s">
        <v>16</v>
      </c>
      <c r="C12" s="63" t="s">
        <v>17</v>
      </c>
      <c r="D12" s="378">
        <v>2422</v>
      </c>
      <c r="E12" s="379">
        <v>2304</v>
      </c>
      <c r="G12" s="725">
        <f t="shared" ref="G12:G20" si="0">E12-D12</f>
        <v>-118</v>
      </c>
      <c r="H12" s="726">
        <f t="shared" ref="H12:H20" si="1">G12/D12</f>
        <v>-4.8720066061106522E-2</v>
      </c>
    </row>
    <row r="13" spans="1:13" ht="12.75" customHeight="1" x14ac:dyDescent="0.25">
      <c r="A13" s="61" t="s">
        <v>18</v>
      </c>
      <c r="B13" s="62" t="s">
        <v>19</v>
      </c>
      <c r="C13" s="63" t="s">
        <v>20</v>
      </c>
      <c r="D13" s="378">
        <v>2045</v>
      </c>
      <c r="E13" s="379">
        <v>2218</v>
      </c>
      <c r="G13" s="725">
        <f t="shared" si="0"/>
        <v>173</v>
      </c>
      <c r="H13" s="726">
        <f t="shared" si="1"/>
        <v>8.4596577017114913E-2</v>
      </c>
    </row>
    <row r="14" spans="1:13" ht="12.75" customHeight="1" x14ac:dyDescent="0.25">
      <c r="A14" s="61" t="s">
        <v>21</v>
      </c>
      <c r="B14" s="62" t="s">
        <v>22</v>
      </c>
      <c r="C14" s="63" t="s">
        <v>23</v>
      </c>
      <c r="D14" s="378">
        <v>3151</v>
      </c>
      <c r="E14" s="379">
        <v>4091</v>
      </c>
      <c r="G14" s="725">
        <f t="shared" si="0"/>
        <v>940</v>
      </c>
      <c r="H14" s="726">
        <f t="shared" si="1"/>
        <v>0.29831799428752775</v>
      </c>
    </row>
    <row r="15" spans="1:13" ht="12.75" customHeight="1" x14ac:dyDescent="0.25">
      <c r="A15" s="61" t="s">
        <v>24</v>
      </c>
      <c r="B15" s="62" t="s">
        <v>25</v>
      </c>
      <c r="C15" s="63" t="s">
        <v>26</v>
      </c>
      <c r="D15" s="378">
        <v>0</v>
      </c>
      <c r="E15" s="379">
        <v>0</v>
      </c>
      <c r="G15" s="725">
        <f t="shared" si="0"/>
        <v>0</v>
      </c>
      <c r="H15" s="726" t="e">
        <f t="shared" si="1"/>
        <v>#DIV/0!</v>
      </c>
    </row>
    <row r="16" spans="1:13" ht="12.75" customHeight="1" x14ac:dyDescent="0.25">
      <c r="A16" s="64" t="s">
        <v>27</v>
      </c>
      <c r="B16" s="62" t="s">
        <v>28</v>
      </c>
      <c r="C16" s="63" t="s">
        <v>29</v>
      </c>
      <c r="D16" s="376">
        <f>SUM(D17:D26)</f>
        <v>30060650</v>
      </c>
      <c r="E16" s="377">
        <f>SUM(E17:E26)</f>
        <v>32724409</v>
      </c>
      <c r="G16" s="727">
        <f t="shared" si="0"/>
        <v>2663759</v>
      </c>
      <c r="H16" s="724">
        <f t="shared" si="1"/>
        <v>8.8612821080049836E-2</v>
      </c>
    </row>
    <row r="17" spans="1:8" ht="12.75" customHeight="1" x14ac:dyDescent="0.25">
      <c r="A17" s="61" t="s">
        <v>30</v>
      </c>
      <c r="B17" s="62" t="s">
        <v>31</v>
      </c>
      <c r="C17" s="63" t="s">
        <v>32</v>
      </c>
      <c r="D17" s="378">
        <v>1512480</v>
      </c>
      <c r="E17" s="379">
        <v>1515627</v>
      </c>
      <c r="G17" s="725">
        <f t="shared" si="0"/>
        <v>3147</v>
      </c>
      <c r="H17" s="726">
        <f t="shared" si="1"/>
        <v>2.0806886702634084E-3</v>
      </c>
    </row>
    <row r="18" spans="1:8" ht="12.75" customHeight="1" x14ac:dyDescent="0.25">
      <c r="A18" s="61" t="s">
        <v>630</v>
      </c>
      <c r="B18" s="62" t="s">
        <v>33</v>
      </c>
      <c r="C18" s="63" t="s">
        <v>34</v>
      </c>
      <c r="D18" s="378">
        <v>43388</v>
      </c>
      <c r="E18" s="379">
        <v>23725</v>
      </c>
      <c r="G18" s="725">
        <f t="shared" si="0"/>
        <v>-19663</v>
      </c>
      <c r="H18" s="726">
        <f t="shared" si="1"/>
        <v>-0.45318982207061859</v>
      </c>
    </row>
    <row r="19" spans="1:8" ht="12.75" customHeight="1" x14ac:dyDescent="0.25">
      <c r="A19" s="61" t="s">
        <v>35</v>
      </c>
      <c r="B19" s="62" t="s">
        <v>36</v>
      </c>
      <c r="C19" s="63" t="s">
        <v>37</v>
      </c>
      <c r="D19" s="378">
        <v>16640053</v>
      </c>
      <c r="E19" s="379">
        <v>17764518</v>
      </c>
      <c r="F19" s="724">
        <f>G19/G16</f>
        <v>0.42213466007998474</v>
      </c>
      <c r="G19" s="1279">
        <f t="shared" si="0"/>
        <v>1124465</v>
      </c>
      <c r="H19" s="726">
        <f t="shared" si="1"/>
        <v>6.7575806399174335E-2</v>
      </c>
    </row>
    <row r="20" spans="1:8" ht="12.75" customHeight="1" x14ac:dyDescent="0.25">
      <c r="A20" s="61" t="s">
        <v>631</v>
      </c>
      <c r="B20" s="62" t="s">
        <v>38</v>
      </c>
      <c r="C20" s="63" t="s">
        <v>39</v>
      </c>
      <c r="D20" s="378">
        <v>9858866</v>
      </c>
      <c r="E20" s="379">
        <v>10372028</v>
      </c>
      <c r="F20" s="724">
        <f>G20/G16</f>
        <v>0.1926458061709036</v>
      </c>
      <c r="G20" s="1280">
        <f t="shared" si="0"/>
        <v>513162</v>
      </c>
      <c r="H20" s="726">
        <f t="shared" si="1"/>
        <v>5.2050813957710752E-2</v>
      </c>
    </row>
    <row r="21" spans="1:8" ht="12.75" customHeight="1" x14ac:dyDescent="0.25">
      <c r="A21" s="61" t="s">
        <v>40</v>
      </c>
      <c r="B21" s="62" t="s">
        <v>41</v>
      </c>
      <c r="C21" s="63" t="s">
        <v>42</v>
      </c>
      <c r="D21" s="378">
        <v>0</v>
      </c>
      <c r="E21" s="379">
        <v>0</v>
      </c>
      <c r="G21" s="725"/>
      <c r="H21" s="726"/>
    </row>
    <row r="22" spans="1:8" ht="12.75" customHeight="1" x14ac:dyDescent="0.25">
      <c r="A22" s="61" t="s">
        <v>632</v>
      </c>
      <c r="B22" s="62" t="s">
        <v>43</v>
      </c>
      <c r="C22" s="63" t="s">
        <v>44</v>
      </c>
      <c r="D22" s="378">
        <v>0</v>
      </c>
      <c r="E22" s="379">
        <v>0</v>
      </c>
      <c r="G22" s="725"/>
      <c r="H22" s="726"/>
    </row>
    <row r="23" spans="1:8" ht="12.75" customHeight="1" x14ac:dyDescent="0.25">
      <c r="A23" s="61" t="s">
        <v>45</v>
      </c>
      <c r="B23" s="62" t="s">
        <v>46</v>
      </c>
      <c r="C23" s="63" t="s">
        <v>47</v>
      </c>
      <c r="D23" s="378">
        <v>180237</v>
      </c>
      <c r="E23" s="379">
        <v>169565</v>
      </c>
      <c r="G23" s="725">
        <f>E23-D23</f>
        <v>-10672</v>
      </c>
      <c r="H23" s="726">
        <f>G23/D23</f>
        <v>-5.9210927833907578E-2</v>
      </c>
    </row>
    <row r="24" spans="1:8" ht="12.75" customHeight="1" x14ac:dyDescent="0.25">
      <c r="A24" s="61" t="s">
        <v>48</v>
      </c>
      <c r="B24" s="62" t="s">
        <v>49</v>
      </c>
      <c r="C24" s="63" t="s">
        <v>50</v>
      </c>
      <c r="D24" s="378">
        <v>6019</v>
      </c>
      <c r="E24" s="379">
        <v>8612</v>
      </c>
      <c r="G24" s="725">
        <f>E24-D24</f>
        <v>2593</v>
      </c>
      <c r="H24" s="726">
        <f>G24/D24</f>
        <v>0.43080245888021268</v>
      </c>
    </row>
    <row r="25" spans="1:8" ht="12.75" customHeight="1" x14ac:dyDescent="0.25">
      <c r="A25" s="61" t="s">
        <v>51</v>
      </c>
      <c r="B25" s="62" t="s">
        <v>52</v>
      </c>
      <c r="C25" s="63" t="s">
        <v>53</v>
      </c>
      <c r="D25" s="378">
        <v>1819018</v>
      </c>
      <c r="E25" s="379">
        <v>2866484</v>
      </c>
      <c r="F25" s="724">
        <f>G25/G16</f>
        <v>0.39322851654372637</v>
      </c>
      <c r="G25" s="1279">
        <f>E25-D25</f>
        <v>1047466</v>
      </c>
      <c r="H25" s="726">
        <f>G25/D25</f>
        <v>0.5758414705077135</v>
      </c>
    </row>
    <row r="26" spans="1:8" ht="12.75" customHeight="1" x14ac:dyDescent="0.25">
      <c r="A26" s="61" t="s">
        <v>54</v>
      </c>
      <c r="B26" s="62" t="s">
        <v>55</v>
      </c>
      <c r="C26" s="63" t="s">
        <v>56</v>
      </c>
      <c r="D26" s="378">
        <v>589</v>
      </c>
      <c r="E26" s="379">
        <v>3850</v>
      </c>
      <c r="G26" s="725">
        <f>E26-D26</f>
        <v>3261</v>
      </c>
      <c r="H26" s="726"/>
    </row>
    <row r="27" spans="1:8" ht="12.75" customHeight="1" x14ac:dyDescent="0.25">
      <c r="A27" s="64" t="s">
        <v>57</v>
      </c>
      <c r="B27" s="62" t="s">
        <v>633</v>
      </c>
      <c r="C27" s="63" t="s">
        <v>58</v>
      </c>
      <c r="D27" s="376">
        <f>SUM(D28:D33)</f>
        <v>22500</v>
      </c>
      <c r="E27" s="377">
        <f>SUM(E28:E33)</f>
        <v>22500</v>
      </c>
    </row>
    <row r="28" spans="1:8" ht="12.75" customHeight="1" x14ac:dyDescent="0.25">
      <c r="A28" s="61" t="s">
        <v>634</v>
      </c>
      <c r="B28" s="62" t="s">
        <v>59</v>
      </c>
      <c r="C28" s="63" t="s">
        <v>60</v>
      </c>
      <c r="D28" s="378">
        <v>0</v>
      </c>
      <c r="E28" s="379">
        <v>0</v>
      </c>
    </row>
    <row r="29" spans="1:8" ht="12.75" customHeight="1" x14ac:dyDescent="0.25">
      <c r="A29" s="61" t="s">
        <v>635</v>
      </c>
      <c r="B29" s="62" t="s">
        <v>61</v>
      </c>
      <c r="C29" s="63" t="s">
        <v>62</v>
      </c>
      <c r="D29" s="378">
        <v>22500</v>
      </c>
      <c r="E29" s="379">
        <v>22500</v>
      </c>
      <c r="G29" s="725">
        <f>E29-D29</f>
        <v>0</v>
      </c>
      <c r="H29" s="726">
        <f>G29/D29</f>
        <v>0</v>
      </c>
    </row>
    <row r="30" spans="1:8" ht="12.75" customHeight="1" x14ac:dyDescent="0.25">
      <c r="A30" s="61" t="s">
        <v>63</v>
      </c>
      <c r="B30" s="62" t="s">
        <v>64</v>
      </c>
      <c r="C30" s="63" t="s">
        <v>65</v>
      </c>
      <c r="D30" s="378">
        <v>0</v>
      </c>
      <c r="E30" s="379">
        <v>0</v>
      </c>
    </row>
    <row r="31" spans="1:8" ht="12.75" customHeight="1" x14ac:dyDescent="0.25">
      <c r="A31" s="61" t="s">
        <v>636</v>
      </c>
      <c r="B31" s="62" t="s">
        <v>66</v>
      </c>
      <c r="C31" s="63" t="s">
        <v>67</v>
      </c>
      <c r="D31" s="378">
        <v>0</v>
      </c>
      <c r="E31" s="379">
        <v>0</v>
      </c>
    </row>
    <row r="32" spans="1:8" ht="12.75" customHeight="1" x14ac:dyDescent="0.25">
      <c r="A32" s="61" t="s">
        <v>637</v>
      </c>
      <c r="B32" s="62" t="s">
        <v>68</v>
      </c>
      <c r="C32" s="63" t="s">
        <v>69</v>
      </c>
      <c r="D32" s="378">
        <v>0</v>
      </c>
      <c r="E32" s="379">
        <v>0</v>
      </c>
    </row>
    <row r="33" spans="1:20" ht="12.75" customHeight="1" x14ac:dyDescent="0.25">
      <c r="A33" s="61" t="s">
        <v>70</v>
      </c>
      <c r="B33" s="62" t="s">
        <v>71</v>
      </c>
      <c r="C33" s="63" t="s">
        <v>72</v>
      </c>
      <c r="D33" s="378">
        <v>0</v>
      </c>
      <c r="E33" s="379">
        <v>0</v>
      </c>
      <c r="I33" s="1075" t="s">
        <v>1190</v>
      </c>
    </row>
    <row r="34" spans="1:20" ht="12.75" customHeight="1" x14ac:dyDescent="0.25">
      <c r="A34" s="64" t="s">
        <v>74</v>
      </c>
      <c r="B34" s="62" t="s">
        <v>638</v>
      </c>
      <c r="C34" s="63" t="s">
        <v>73</v>
      </c>
      <c r="D34" s="376">
        <f>SUM(D35:D45)</f>
        <v>-14210494</v>
      </c>
      <c r="E34" s="377">
        <f>SUM(E35:E45)</f>
        <v>-15054599</v>
      </c>
      <c r="J34" s="19" t="s">
        <v>1124</v>
      </c>
      <c r="N34" s="19">
        <v>2024</v>
      </c>
      <c r="O34" s="19">
        <v>2023</v>
      </c>
      <c r="P34" s="19" t="s">
        <v>1266</v>
      </c>
    </row>
    <row r="35" spans="1:20" ht="12.75" customHeight="1" x14ac:dyDescent="0.25">
      <c r="A35" s="61" t="s">
        <v>76</v>
      </c>
      <c r="B35" s="62" t="s">
        <v>77</v>
      </c>
      <c r="C35" s="63" t="s">
        <v>75</v>
      </c>
      <c r="D35" s="378">
        <v>0</v>
      </c>
      <c r="E35" s="379">
        <v>0</v>
      </c>
      <c r="G35" s="78">
        <f>SUM(G36:G39)</f>
        <v>-52719</v>
      </c>
      <c r="H35" s="726"/>
      <c r="I35" s="841" t="s">
        <v>1189</v>
      </c>
      <c r="J35" s="78">
        <f>G8+G35</f>
        <v>50492</v>
      </c>
      <c r="M35" s="839" t="s">
        <v>1121</v>
      </c>
      <c r="N35" s="78">
        <f>E8+SUM(E35:E39)</f>
        <v>140755</v>
      </c>
      <c r="O35" s="727">
        <v>90263</v>
      </c>
      <c r="P35" s="78">
        <f>N35-O35</f>
        <v>50492</v>
      </c>
      <c r="Q35" s="724">
        <f>P35/O35</f>
        <v>0.55938756744180895</v>
      </c>
      <c r="S35" s="19" t="s">
        <v>1122</v>
      </c>
      <c r="T35" s="78">
        <f>E10+E36</f>
        <v>135987</v>
      </c>
    </row>
    <row r="36" spans="1:20" ht="12.75" customHeight="1" x14ac:dyDescent="0.25">
      <c r="A36" s="61" t="s">
        <v>79</v>
      </c>
      <c r="B36" s="62" t="s">
        <v>80</v>
      </c>
      <c r="C36" s="63" t="s">
        <v>78</v>
      </c>
      <c r="D36" s="378">
        <v>-446146</v>
      </c>
      <c r="E36" s="379">
        <v>-498869</v>
      </c>
      <c r="G36" s="725">
        <f>E36-D36</f>
        <v>-52723</v>
      </c>
      <c r="H36" s="726">
        <f>G36/D36</f>
        <v>0.11817431961734499</v>
      </c>
      <c r="M36" s="19" t="s">
        <v>1123</v>
      </c>
      <c r="N36" s="724">
        <f>E10/E8</f>
        <v>0.98661473979321457</v>
      </c>
      <c r="O36" s="724">
        <f>D10/D8</f>
        <v>0.98589932957957127</v>
      </c>
      <c r="T36" s="724">
        <f>T35/N35</f>
        <v>0.9661255372810913</v>
      </c>
    </row>
    <row r="37" spans="1:20" ht="12.75" customHeight="1" x14ac:dyDescent="0.25">
      <c r="A37" s="61" t="s">
        <v>82</v>
      </c>
      <c r="B37" s="62" t="s">
        <v>83</v>
      </c>
      <c r="C37" s="63" t="s">
        <v>81</v>
      </c>
      <c r="D37" s="378">
        <v>0</v>
      </c>
      <c r="E37" s="379">
        <v>0</v>
      </c>
      <c r="G37" s="725"/>
      <c r="H37" s="726"/>
      <c r="I37" s="841" t="s">
        <v>1188</v>
      </c>
      <c r="J37" s="78">
        <f>E8+SUM(E35:E39)</f>
        <v>140755</v>
      </c>
    </row>
    <row r="38" spans="1:20" ht="12.75" customHeight="1" x14ac:dyDescent="0.25">
      <c r="A38" s="61" t="s">
        <v>639</v>
      </c>
      <c r="B38" s="62" t="s">
        <v>85</v>
      </c>
      <c r="C38" s="63" t="s">
        <v>84</v>
      </c>
      <c r="D38" s="378">
        <v>-2422</v>
      </c>
      <c r="E38" s="379">
        <v>-2304</v>
      </c>
      <c r="G38" s="725">
        <f>E38-D38</f>
        <v>118</v>
      </c>
      <c r="H38" s="726">
        <f>G38/D38</f>
        <v>-4.8720066061106522E-2</v>
      </c>
      <c r="N38" s="19">
        <f>N34</f>
        <v>2024</v>
      </c>
      <c r="O38" s="19">
        <f>O34</f>
        <v>2023</v>
      </c>
      <c r="P38" s="19" t="str">
        <f>P34</f>
        <v>2024-2023</v>
      </c>
    </row>
    <row r="39" spans="1:20" ht="12.75" customHeight="1" x14ac:dyDescent="0.25">
      <c r="A39" s="61" t="s">
        <v>640</v>
      </c>
      <c r="B39" s="62" t="s">
        <v>87</v>
      </c>
      <c r="C39" s="63" t="s">
        <v>86</v>
      </c>
      <c r="D39" s="378">
        <v>-1427</v>
      </c>
      <c r="E39" s="379">
        <v>-1541</v>
      </c>
      <c r="G39" s="1072">
        <f>E39-D39</f>
        <v>-114</v>
      </c>
      <c r="H39" s="1073">
        <f>G39/D39</f>
        <v>7.9887876664330768E-2</v>
      </c>
      <c r="I39" s="1074" t="s">
        <v>1191</v>
      </c>
      <c r="J39" s="19" t="s">
        <v>1124</v>
      </c>
      <c r="M39" s="840" t="s">
        <v>1125</v>
      </c>
      <c r="N39" s="78">
        <f>E16+SUM(E40:E45)</f>
        <v>18172524</v>
      </c>
      <c r="O39" s="727">
        <v>16300151</v>
      </c>
      <c r="P39" s="78">
        <f>N39-O39</f>
        <v>1872373</v>
      </c>
      <c r="Q39" s="724">
        <f>P39/O39</f>
        <v>0.11486844508372959</v>
      </c>
    </row>
    <row r="40" spans="1:20" ht="12.75" customHeight="1" x14ac:dyDescent="0.25">
      <c r="A40" s="61" t="s">
        <v>89</v>
      </c>
      <c r="B40" s="62" t="s">
        <v>90</v>
      </c>
      <c r="C40" s="63" t="s">
        <v>88</v>
      </c>
      <c r="D40" s="378">
        <v>-5861981</v>
      </c>
      <c r="E40" s="379">
        <v>-6247310</v>
      </c>
      <c r="G40" s="78">
        <f>E40-D40</f>
        <v>-385329</v>
      </c>
      <c r="H40" s="724">
        <f>G40/D40</f>
        <v>6.5733580508022804E-2</v>
      </c>
      <c r="I40" s="841" t="s">
        <v>1126</v>
      </c>
      <c r="J40" s="78">
        <f>G19+G40</f>
        <v>739136</v>
      </c>
      <c r="K40" s="710" t="s">
        <v>1127</v>
      </c>
    </row>
    <row r="41" spans="1:20" ht="12.75" customHeight="1" x14ac:dyDescent="0.25">
      <c r="A41" s="61" t="s">
        <v>641</v>
      </c>
      <c r="B41" s="62" t="s">
        <v>92</v>
      </c>
      <c r="C41" s="63" t="s">
        <v>91</v>
      </c>
      <c r="D41" s="378">
        <v>-7713313</v>
      </c>
      <c r="E41" s="379">
        <v>-8130000</v>
      </c>
      <c r="G41" s="78">
        <f>E41-D41</f>
        <v>-416687</v>
      </c>
      <c r="H41" s="724">
        <f>G41/D41</f>
        <v>5.402179322944628E-2</v>
      </c>
      <c r="I41" s="841" t="s">
        <v>1128</v>
      </c>
      <c r="J41" s="78">
        <f>G20+G41</f>
        <v>96475</v>
      </c>
      <c r="K41" s="710" t="s">
        <v>1129</v>
      </c>
    </row>
    <row r="42" spans="1:20" ht="12.75" customHeight="1" x14ac:dyDescent="0.25">
      <c r="A42" s="61" t="s">
        <v>94</v>
      </c>
      <c r="B42" s="62" t="s">
        <v>95</v>
      </c>
      <c r="C42" s="63" t="s">
        <v>93</v>
      </c>
      <c r="D42" s="378">
        <v>0</v>
      </c>
      <c r="E42" s="379">
        <v>0</v>
      </c>
      <c r="G42" s="19">
        <f>E42-D42</f>
        <v>0</v>
      </c>
      <c r="H42" s="19" t="e">
        <f>G42/D42</f>
        <v>#DIV/0!</v>
      </c>
    </row>
    <row r="43" spans="1:20" ht="12.75" customHeight="1" x14ac:dyDescent="0.25">
      <c r="A43" s="61" t="s">
        <v>97</v>
      </c>
      <c r="B43" s="62" t="s">
        <v>98</v>
      </c>
      <c r="C43" s="63" t="s">
        <v>96</v>
      </c>
      <c r="D43" s="378">
        <v>0</v>
      </c>
      <c r="E43" s="379">
        <v>0</v>
      </c>
      <c r="I43" s="841" t="s">
        <v>1186</v>
      </c>
      <c r="J43" s="78">
        <f>E19+E40</f>
        <v>11517208</v>
      </c>
    </row>
    <row r="44" spans="1:20" ht="12.75" customHeight="1" x14ac:dyDescent="0.25">
      <c r="A44" s="61" t="s">
        <v>497</v>
      </c>
      <c r="B44" s="62" t="s">
        <v>100</v>
      </c>
      <c r="C44" s="63" t="s">
        <v>99</v>
      </c>
      <c r="D44" s="378">
        <v>-180237</v>
      </c>
      <c r="E44" s="379">
        <v>-169565</v>
      </c>
      <c r="I44" s="841" t="s">
        <v>1187</v>
      </c>
      <c r="J44" s="78">
        <f>E20+E41</f>
        <v>2242028</v>
      </c>
    </row>
    <row r="45" spans="1:20" ht="12.6" customHeight="1" thickBot="1" x14ac:dyDescent="0.3">
      <c r="A45" s="65" t="s">
        <v>498</v>
      </c>
      <c r="B45" s="66" t="s">
        <v>102</v>
      </c>
      <c r="C45" s="63" t="s">
        <v>101</v>
      </c>
      <c r="D45" s="380">
        <v>-4968</v>
      </c>
      <c r="E45" s="381">
        <v>-5010</v>
      </c>
    </row>
    <row r="46" spans="1:20" ht="12.75" customHeight="1" x14ac:dyDescent="0.25">
      <c r="A46" s="67" t="s">
        <v>104</v>
      </c>
      <c r="B46" s="68" t="s">
        <v>642</v>
      </c>
      <c r="C46" s="69" t="s">
        <v>103</v>
      </c>
      <c r="D46" s="382">
        <f>D47+D57+D77+D85</f>
        <v>8383029</v>
      </c>
      <c r="E46" s="383">
        <f>E47+E57+E77+E85</f>
        <v>10462119</v>
      </c>
      <c r="G46" s="78">
        <f>E46-D46</f>
        <v>2079090</v>
      </c>
      <c r="H46" s="724">
        <f>G46/D46</f>
        <v>0.24801178667042664</v>
      </c>
    </row>
    <row r="47" spans="1:20" ht="12.75" customHeight="1" x14ac:dyDescent="0.25">
      <c r="A47" s="64" t="s">
        <v>106</v>
      </c>
      <c r="B47" s="62" t="s">
        <v>643</v>
      </c>
      <c r="C47" s="63" t="s">
        <v>105</v>
      </c>
      <c r="D47" s="376">
        <f>SUM(D48:D56)</f>
        <v>107895</v>
      </c>
      <c r="E47" s="377">
        <f>SUM(E48:E56)</f>
        <v>106849</v>
      </c>
      <c r="G47" s="78">
        <f>E47-D47</f>
        <v>-1046</v>
      </c>
      <c r="H47" s="724">
        <f>G47/D47</f>
        <v>-9.6946105009499978E-3</v>
      </c>
    </row>
    <row r="48" spans="1:20" ht="12.75" customHeight="1" x14ac:dyDescent="0.25">
      <c r="A48" s="61" t="s">
        <v>108</v>
      </c>
      <c r="B48" s="62" t="s">
        <v>109</v>
      </c>
      <c r="C48" s="63" t="s">
        <v>107</v>
      </c>
      <c r="D48" s="378">
        <v>17304</v>
      </c>
      <c r="E48" s="379">
        <v>17985</v>
      </c>
      <c r="G48" s="725">
        <f>E48-D48</f>
        <v>681</v>
      </c>
      <c r="H48" s="726">
        <f>G48/D48</f>
        <v>3.9355062413314844E-2</v>
      </c>
      <c r="J48" s="19">
        <f>G48/G47</f>
        <v>-0.65105162523900573</v>
      </c>
    </row>
    <row r="49" spans="1:8" ht="12.75" customHeight="1" x14ac:dyDescent="0.25">
      <c r="A49" s="61" t="s">
        <v>111</v>
      </c>
      <c r="B49" s="62" t="s">
        <v>112</v>
      </c>
      <c r="C49" s="63" t="s">
        <v>110</v>
      </c>
      <c r="D49" s="378">
        <v>143</v>
      </c>
      <c r="E49" s="379">
        <v>21</v>
      </c>
      <c r="G49" s="725"/>
      <c r="H49" s="726"/>
    </row>
    <row r="50" spans="1:8" ht="12.75" customHeight="1" x14ac:dyDescent="0.25">
      <c r="A50" s="61" t="s">
        <v>114</v>
      </c>
      <c r="B50" s="62" t="s">
        <v>115</v>
      </c>
      <c r="C50" s="63" t="s">
        <v>113</v>
      </c>
      <c r="D50" s="378">
        <v>5496</v>
      </c>
      <c r="E50" s="379">
        <v>5003</v>
      </c>
      <c r="G50" s="725">
        <f t="shared" ref="G50:G65" si="2">E50-D50</f>
        <v>-493</v>
      </c>
      <c r="H50" s="726">
        <f t="shared" ref="H50:H65" si="3">G50/D50</f>
        <v>-8.9701601164483266E-2</v>
      </c>
    </row>
    <row r="51" spans="1:8" ht="12.75" customHeight="1" x14ac:dyDescent="0.25">
      <c r="A51" s="61" t="s">
        <v>117</v>
      </c>
      <c r="B51" s="62" t="s">
        <v>118</v>
      </c>
      <c r="C51" s="63" t="s">
        <v>116</v>
      </c>
      <c r="D51" s="378">
        <v>0</v>
      </c>
      <c r="E51" s="379">
        <v>0</v>
      </c>
      <c r="G51" s="725">
        <f t="shared" si="2"/>
        <v>0</v>
      </c>
      <c r="H51" s="726" t="e">
        <f t="shared" si="3"/>
        <v>#DIV/0!</v>
      </c>
    </row>
    <row r="52" spans="1:8" ht="12.75" customHeight="1" x14ac:dyDescent="0.25">
      <c r="A52" s="61" t="s">
        <v>120</v>
      </c>
      <c r="B52" s="62" t="s">
        <v>121</v>
      </c>
      <c r="C52" s="63" t="s">
        <v>119</v>
      </c>
      <c r="D52" s="378">
        <v>75388</v>
      </c>
      <c r="E52" s="379">
        <v>73431</v>
      </c>
      <c r="G52" s="725">
        <f t="shared" si="2"/>
        <v>-1957</v>
      </c>
      <c r="H52" s="726">
        <f t="shared" si="3"/>
        <v>-2.595903857377832E-2</v>
      </c>
    </row>
    <row r="53" spans="1:8" ht="12.75" customHeight="1" x14ac:dyDescent="0.25">
      <c r="A53" s="61" t="s">
        <v>644</v>
      </c>
      <c r="B53" s="62" t="s">
        <v>123</v>
      </c>
      <c r="C53" s="63" t="s">
        <v>122</v>
      </c>
      <c r="D53" s="378">
        <v>0</v>
      </c>
      <c r="E53" s="379">
        <v>0</v>
      </c>
      <c r="G53" s="725">
        <f t="shared" si="2"/>
        <v>0</v>
      </c>
      <c r="H53" s="726" t="e">
        <f t="shared" si="3"/>
        <v>#DIV/0!</v>
      </c>
    </row>
    <row r="54" spans="1:8" ht="12.75" customHeight="1" x14ac:dyDescent="0.25">
      <c r="A54" s="61" t="s">
        <v>125</v>
      </c>
      <c r="B54" s="62" t="s">
        <v>126</v>
      </c>
      <c r="C54" s="63" t="s">
        <v>124</v>
      </c>
      <c r="D54" s="378">
        <v>9549</v>
      </c>
      <c r="E54" s="379">
        <v>10409</v>
      </c>
      <c r="G54" s="725">
        <f t="shared" si="2"/>
        <v>860</v>
      </c>
      <c r="H54" s="726">
        <f t="shared" si="3"/>
        <v>9.0061786574510416E-2</v>
      </c>
    </row>
    <row r="55" spans="1:8" ht="12.75" customHeight="1" x14ac:dyDescent="0.25">
      <c r="A55" s="61" t="s">
        <v>128</v>
      </c>
      <c r="B55" s="62" t="s">
        <v>129</v>
      </c>
      <c r="C55" s="63" t="s">
        <v>127</v>
      </c>
      <c r="D55" s="378">
        <v>15</v>
      </c>
      <c r="E55" s="379">
        <v>0</v>
      </c>
      <c r="G55" s="725">
        <f t="shared" si="2"/>
        <v>-15</v>
      </c>
      <c r="H55" s="726">
        <f t="shared" si="3"/>
        <v>-1</v>
      </c>
    </row>
    <row r="56" spans="1:8" ht="12.75" customHeight="1" x14ac:dyDescent="0.25">
      <c r="A56" s="61" t="s">
        <v>131</v>
      </c>
      <c r="B56" s="62" t="s">
        <v>132</v>
      </c>
      <c r="C56" s="63" t="s">
        <v>130</v>
      </c>
      <c r="D56" s="378">
        <v>0</v>
      </c>
      <c r="E56" s="379">
        <v>0</v>
      </c>
      <c r="G56" s="725">
        <f t="shared" si="2"/>
        <v>0</v>
      </c>
      <c r="H56" s="726" t="e">
        <f t="shared" si="3"/>
        <v>#DIV/0!</v>
      </c>
    </row>
    <row r="57" spans="1:8" ht="12.75" customHeight="1" x14ac:dyDescent="0.25">
      <c r="A57" s="64" t="s">
        <v>134</v>
      </c>
      <c r="B57" s="62" t="s">
        <v>645</v>
      </c>
      <c r="C57" s="63" t="s">
        <v>133</v>
      </c>
      <c r="D57" s="376">
        <f>SUM(D58:D76)</f>
        <v>934880</v>
      </c>
      <c r="E57" s="377">
        <f>SUM(E58:E76)</f>
        <v>1229407</v>
      </c>
      <c r="G57" s="1281">
        <f t="shared" si="2"/>
        <v>294527</v>
      </c>
      <c r="H57" s="724">
        <f t="shared" si="3"/>
        <v>0.31504257230874549</v>
      </c>
    </row>
    <row r="58" spans="1:8" ht="12.75" customHeight="1" x14ac:dyDescent="0.25">
      <c r="A58" s="61" t="s">
        <v>136</v>
      </c>
      <c r="B58" s="62" t="s">
        <v>137</v>
      </c>
      <c r="C58" s="63" t="s">
        <v>135</v>
      </c>
      <c r="D58" s="378">
        <v>50035</v>
      </c>
      <c r="E58" s="379">
        <v>52594</v>
      </c>
      <c r="G58" s="725">
        <f t="shared" si="2"/>
        <v>2559</v>
      </c>
      <c r="H58" s="726">
        <f t="shared" si="3"/>
        <v>5.1144199060657543E-2</v>
      </c>
    </row>
    <row r="59" spans="1:8" ht="12.75" customHeight="1" x14ac:dyDescent="0.25">
      <c r="A59" s="61" t="s">
        <v>139</v>
      </c>
      <c r="B59" s="62" t="s">
        <v>140</v>
      </c>
      <c r="C59" s="63" t="s">
        <v>138</v>
      </c>
      <c r="D59" s="378">
        <v>0</v>
      </c>
      <c r="E59" s="379">
        <v>0</v>
      </c>
      <c r="G59" s="725">
        <f t="shared" si="2"/>
        <v>0</v>
      </c>
      <c r="H59" s="726" t="e">
        <f t="shared" si="3"/>
        <v>#DIV/0!</v>
      </c>
    </row>
    <row r="60" spans="1:8" ht="12.75" customHeight="1" x14ac:dyDescent="0.25">
      <c r="A60" s="61" t="s">
        <v>142</v>
      </c>
      <c r="B60" s="62" t="s">
        <v>143</v>
      </c>
      <c r="C60" s="63" t="s">
        <v>141</v>
      </c>
      <c r="D60" s="378">
        <v>0</v>
      </c>
      <c r="E60" s="379">
        <v>0</v>
      </c>
      <c r="G60" s="725">
        <f t="shared" si="2"/>
        <v>0</v>
      </c>
      <c r="H60" s="726" t="e">
        <f t="shared" si="3"/>
        <v>#DIV/0!</v>
      </c>
    </row>
    <row r="61" spans="1:8" ht="12.75" customHeight="1" x14ac:dyDescent="0.25">
      <c r="A61" s="61" t="s">
        <v>145</v>
      </c>
      <c r="B61" s="62" t="s">
        <v>132</v>
      </c>
      <c r="C61" s="63" t="s">
        <v>144</v>
      </c>
      <c r="D61" s="378">
        <v>65868</v>
      </c>
      <c r="E61" s="379">
        <v>108218</v>
      </c>
      <c r="G61" s="725">
        <f t="shared" si="2"/>
        <v>42350</v>
      </c>
      <c r="H61" s="726">
        <f t="shared" si="3"/>
        <v>0.6429525718102872</v>
      </c>
    </row>
    <row r="62" spans="1:8" ht="12.75" customHeight="1" x14ac:dyDescent="0.25">
      <c r="A62" s="61" t="s">
        <v>147</v>
      </c>
      <c r="B62" s="62" t="s">
        <v>148</v>
      </c>
      <c r="C62" s="63" t="s">
        <v>146</v>
      </c>
      <c r="D62" s="378">
        <v>17381</v>
      </c>
      <c r="E62" s="379">
        <v>14208</v>
      </c>
      <c r="G62" s="725">
        <f t="shared" si="2"/>
        <v>-3173</v>
      </c>
      <c r="H62" s="726">
        <f t="shared" si="3"/>
        <v>-0.1825556642310569</v>
      </c>
    </row>
    <row r="63" spans="1:8" ht="13.5" customHeight="1" x14ac:dyDescent="0.25">
      <c r="A63" s="61" t="s">
        <v>150</v>
      </c>
      <c r="B63" s="62" t="s">
        <v>151</v>
      </c>
      <c r="C63" s="63" t="s">
        <v>149</v>
      </c>
      <c r="D63" s="378">
        <v>1394</v>
      </c>
      <c r="E63" s="379">
        <v>1315</v>
      </c>
      <c r="G63" s="725">
        <f t="shared" si="2"/>
        <v>-79</v>
      </c>
      <c r="H63" s="726">
        <f t="shared" si="3"/>
        <v>-5.6671449067431851E-2</v>
      </c>
    </row>
    <row r="64" spans="1:8" ht="13.5" customHeight="1" x14ac:dyDescent="0.25">
      <c r="A64" s="61" t="s">
        <v>646</v>
      </c>
      <c r="B64" s="62" t="s">
        <v>153</v>
      </c>
      <c r="C64" s="63" t="s">
        <v>152</v>
      </c>
      <c r="D64" s="378">
        <v>0</v>
      </c>
      <c r="E64" s="379">
        <v>0</v>
      </c>
      <c r="G64" s="725">
        <f t="shared" si="2"/>
        <v>0</v>
      </c>
      <c r="H64" s="726" t="e">
        <f t="shared" si="3"/>
        <v>#DIV/0!</v>
      </c>
    </row>
    <row r="65" spans="1:10" ht="12.75" customHeight="1" x14ac:dyDescent="0.25">
      <c r="A65" s="61" t="s">
        <v>155</v>
      </c>
      <c r="B65" s="62" t="s">
        <v>156</v>
      </c>
      <c r="C65" s="63" t="s">
        <v>154</v>
      </c>
      <c r="D65" s="378">
        <v>22026</v>
      </c>
      <c r="E65" s="379">
        <v>19895</v>
      </c>
      <c r="G65" s="725">
        <f t="shared" si="2"/>
        <v>-2131</v>
      </c>
      <c r="H65" s="726">
        <f t="shared" si="3"/>
        <v>-9.6749296286207209E-2</v>
      </c>
    </row>
    <row r="66" spans="1:10" ht="12.75" customHeight="1" x14ac:dyDescent="0.25">
      <c r="A66" s="61" t="s">
        <v>158</v>
      </c>
      <c r="B66" s="62" t="s">
        <v>159</v>
      </c>
      <c r="C66" s="63" t="s">
        <v>157</v>
      </c>
      <c r="D66" s="378">
        <v>0</v>
      </c>
      <c r="E66" s="379">
        <v>0</v>
      </c>
      <c r="G66" s="725"/>
      <c r="H66" s="726"/>
    </row>
    <row r="67" spans="1:10" ht="12.75" customHeight="1" x14ac:dyDescent="0.25">
      <c r="A67" s="61" t="s">
        <v>161</v>
      </c>
      <c r="B67" s="62" t="s">
        <v>162</v>
      </c>
      <c r="C67" s="63" t="s">
        <v>160</v>
      </c>
      <c r="D67" s="378">
        <v>0</v>
      </c>
      <c r="E67" s="379">
        <v>0</v>
      </c>
      <c r="G67" s="725"/>
      <c r="H67" s="726"/>
    </row>
    <row r="68" spans="1:10" ht="12.75" customHeight="1" x14ac:dyDescent="0.25">
      <c r="A68" s="61" t="s">
        <v>164</v>
      </c>
      <c r="B68" s="62" t="s">
        <v>165</v>
      </c>
      <c r="C68" s="63" t="s">
        <v>163</v>
      </c>
      <c r="D68" s="378">
        <v>0</v>
      </c>
      <c r="E68" s="379">
        <v>0</v>
      </c>
      <c r="G68" s="725"/>
      <c r="H68" s="726"/>
    </row>
    <row r="69" spans="1:10" ht="12.75" customHeight="1" x14ac:dyDescent="0.25">
      <c r="A69" s="61" t="s">
        <v>647</v>
      </c>
      <c r="B69" s="62" t="s">
        <v>167</v>
      </c>
      <c r="C69" s="63" t="s">
        <v>166</v>
      </c>
      <c r="D69" s="378">
        <v>0</v>
      </c>
      <c r="E69" s="379">
        <v>0</v>
      </c>
      <c r="G69" s="725"/>
      <c r="H69" s="726"/>
    </row>
    <row r="70" spans="1:10" ht="12.75" customHeight="1" x14ac:dyDescent="0.25">
      <c r="A70" s="61" t="s">
        <v>496</v>
      </c>
      <c r="B70" s="62" t="s">
        <v>169</v>
      </c>
      <c r="C70" s="63" t="s">
        <v>168</v>
      </c>
      <c r="D70" s="378">
        <v>0</v>
      </c>
      <c r="E70" s="379">
        <v>0</v>
      </c>
      <c r="G70" s="725"/>
      <c r="H70" s="726"/>
    </row>
    <row r="71" spans="1:10" ht="12.75" customHeight="1" x14ac:dyDescent="0.25">
      <c r="A71" s="61" t="s">
        <v>648</v>
      </c>
      <c r="B71" s="70" t="s">
        <v>171</v>
      </c>
      <c r="C71" s="63" t="s">
        <v>170</v>
      </c>
      <c r="D71" s="378">
        <v>0</v>
      </c>
      <c r="E71" s="379">
        <v>0</v>
      </c>
      <c r="G71" s="725"/>
      <c r="H71" s="726"/>
    </row>
    <row r="72" spans="1:10" ht="12.75" customHeight="1" x14ac:dyDescent="0.25">
      <c r="A72" s="61" t="s">
        <v>436</v>
      </c>
      <c r="B72" s="70" t="s">
        <v>173</v>
      </c>
      <c r="C72" s="63" t="s">
        <v>172</v>
      </c>
      <c r="D72" s="378">
        <v>0</v>
      </c>
      <c r="E72" s="379">
        <v>0</v>
      </c>
      <c r="G72" s="725"/>
      <c r="H72" s="726"/>
    </row>
    <row r="73" spans="1:10" ht="12.75" customHeight="1" x14ac:dyDescent="0.25">
      <c r="A73" s="61" t="s">
        <v>437</v>
      </c>
      <c r="B73" s="70" t="s">
        <v>175</v>
      </c>
      <c r="C73" s="63" t="s">
        <v>174</v>
      </c>
      <c r="D73" s="378">
        <v>0</v>
      </c>
      <c r="E73" s="379">
        <v>0</v>
      </c>
      <c r="G73" s="725"/>
      <c r="H73" s="726"/>
    </row>
    <row r="74" spans="1:10" ht="12.75" customHeight="1" x14ac:dyDescent="0.25">
      <c r="A74" s="61" t="s">
        <v>177</v>
      </c>
      <c r="B74" s="70" t="s">
        <v>178</v>
      </c>
      <c r="C74" s="63" t="s">
        <v>176</v>
      </c>
      <c r="D74" s="378">
        <v>368751</v>
      </c>
      <c r="E74" s="379">
        <v>318242</v>
      </c>
      <c r="G74" s="725">
        <f t="shared" ref="G74:G80" si="4">E74-D74</f>
        <v>-50509</v>
      </c>
      <c r="H74" s="842">
        <f t="shared" ref="H74:H80" si="5">G74/D74</f>
        <v>-0.13697318786932103</v>
      </c>
    </row>
    <row r="75" spans="1:10" ht="12.75" customHeight="1" x14ac:dyDescent="0.25">
      <c r="A75" s="61" t="s">
        <v>180</v>
      </c>
      <c r="B75" s="62" t="s">
        <v>181</v>
      </c>
      <c r="C75" s="63" t="s">
        <v>179</v>
      </c>
      <c r="D75" s="378">
        <v>416257</v>
      </c>
      <c r="E75" s="379">
        <v>721357</v>
      </c>
      <c r="G75" s="1280">
        <f t="shared" si="4"/>
        <v>305100</v>
      </c>
      <c r="H75" s="726">
        <f t="shared" si="5"/>
        <v>0.73296064690803997</v>
      </c>
      <c r="I75" s="19">
        <f>G75/G57</f>
        <v>1.0358982368339744</v>
      </c>
    </row>
    <row r="76" spans="1:10" ht="12.75" customHeight="1" x14ac:dyDescent="0.25">
      <c r="A76" s="61" t="s">
        <v>183</v>
      </c>
      <c r="B76" s="62" t="s">
        <v>184</v>
      </c>
      <c r="C76" s="63" t="s">
        <v>182</v>
      </c>
      <c r="D76" s="378">
        <v>-6832</v>
      </c>
      <c r="E76" s="379">
        <v>-6422</v>
      </c>
      <c r="G76" s="725">
        <f t="shared" si="4"/>
        <v>410</v>
      </c>
      <c r="H76" s="726">
        <f t="shared" si="5"/>
        <v>-6.0011709601873534E-2</v>
      </c>
    </row>
    <row r="77" spans="1:10" ht="12.75" customHeight="1" x14ac:dyDescent="0.25">
      <c r="A77" s="64" t="s">
        <v>186</v>
      </c>
      <c r="B77" s="62" t="s">
        <v>649</v>
      </c>
      <c r="C77" s="63" t="s">
        <v>185</v>
      </c>
      <c r="D77" s="376">
        <f>SUM(D78:D84)</f>
        <v>7237993</v>
      </c>
      <c r="E77" s="377">
        <f>SUM(E78:E84)</f>
        <v>9018561</v>
      </c>
      <c r="G77" s="78">
        <f t="shared" si="4"/>
        <v>1780568</v>
      </c>
      <c r="H77" s="724">
        <f t="shared" si="5"/>
        <v>0.24600300110818013</v>
      </c>
    </row>
    <row r="78" spans="1:10" ht="12.75" customHeight="1" x14ac:dyDescent="0.25">
      <c r="A78" s="61" t="s">
        <v>650</v>
      </c>
      <c r="B78" s="62" t="s">
        <v>188</v>
      </c>
      <c r="C78" s="63" t="s">
        <v>187</v>
      </c>
      <c r="D78" s="378">
        <v>5591</v>
      </c>
      <c r="E78" s="379">
        <v>4469</v>
      </c>
      <c r="G78" s="725">
        <f t="shared" si="4"/>
        <v>-1122</v>
      </c>
      <c r="H78" s="726">
        <f t="shared" si="5"/>
        <v>-0.20067966374530496</v>
      </c>
    </row>
    <row r="79" spans="1:10" ht="12.75" customHeight="1" x14ac:dyDescent="0.25">
      <c r="A79" s="61" t="s">
        <v>190</v>
      </c>
      <c r="B79" s="62" t="s">
        <v>191</v>
      </c>
      <c r="C79" s="63" t="s">
        <v>189</v>
      </c>
      <c r="D79" s="378">
        <v>503</v>
      </c>
      <c r="E79" s="379">
        <v>262</v>
      </c>
      <c r="G79" s="725">
        <f t="shared" si="4"/>
        <v>-241</v>
      </c>
      <c r="H79" s="726">
        <f t="shared" si="5"/>
        <v>-0.47912524850894633</v>
      </c>
    </row>
    <row r="80" spans="1:10" ht="12.75" customHeight="1" x14ac:dyDescent="0.25">
      <c r="A80" s="61" t="s">
        <v>1331</v>
      </c>
      <c r="B80" s="62" t="s">
        <v>193</v>
      </c>
      <c r="C80" s="63" t="s">
        <v>192</v>
      </c>
      <c r="D80" s="378">
        <v>7231860</v>
      </c>
      <c r="E80" s="379">
        <v>9013759</v>
      </c>
      <c r="G80" s="1278">
        <f t="shared" si="4"/>
        <v>1781899</v>
      </c>
      <c r="H80" s="726">
        <f t="shared" si="5"/>
        <v>0.24639567137638174</v>
      </c>
      <c r="J80" s="19">
        <f>E80/E77</f>
        <v>0.99946754254919379</v>
      </c>
    </row>
    <row r="81" spans="1:22" ht="12.75" customHeight="1" x14ac:dyDescent="0.25">
      <c r="A81" s="61" t="s">
        <v>195</v>
      </c>
      <c r="B81" s="62" t="s">
        <v>196</v>
      </c>
      <c r="C81" s="63" t="s">
        <v>194</v>
      </c>
      <c r="D81" s="378">
        <v>0</v>
      </c>
      <c r="E81" s="379">
        <v>0</v>
      </c>
    </row>
    <row r="82" spans="1:22" ht="12.75" customHeight="1" x14ac:dyDescent="0.25">
      <c r="A82" s="61" t="s">
        <v>198</v>
      </c>
      <c r="B82" s="62" t="s">
        <v>199</v>
      </c>
      <c r="C82" s="63" t="s">
        <v>197</v>
      </c>
      <c r="D82" s="378">
        <v>0</v>
      </c>
      <c r="E82" s="379">
        <v>0</v>
      </c>
    </row>
    <row r="83" spans="1:22" ht="12.75" customHeight="1" x14ac:dyDescent="0.25">
      <c r="A83" s="61" t="s">
        <v>201</v>
      </c>
      <c r="B83" s="62" t="s">
        <v>202</v>
      </c>
      <c r="C83" s="63" t="s">
        <v>200</v>
      </c>
      <c r="D83" s="378">
        <v>0</v>
      </c>
      <c r="E83" s="379">
        <v>0</v>
      </c>
    </row>
    <row r="84" spans="1:22" ht="12.75" customHeight="1" x14ac:dyDescent="0.25">
      <c r="A84" s="61" t="s">
        <v>651</v>
      </c>
      <c r="B84" s="62" t="s">
        <v>205</v>
      </c>
      <c r="C84" s="63" t="s">
        <v>203</v>
      </c>
      <c r="D84" s="378">
        <v>39</v>
      </c>
      <c r="E84" s="379">
        <v>71</v>
      </c>
    </row>
    <row r="85" spans="1:22" ht="12.75" customHeight="1" x14ac:dyDescent="0.25">
      <c r="A85" s="64" t="s">
        <v>207</v>
      </c>
      <c r="B85" s="62" t="s">
        <v>652</v>
      </c>
      <c r="C85" s="63" t="s">
        <v>204</v>
      </c>
      <c r="D85" s="376">
        <f>SUM(D86:D87)</f>
        <v>102261</v>
      </c>
      <c r="E85" s="377">
        <f>SUM(E86:E87)</f>
        <v>107302</v>
      </c>
      <c r="G85" s="78">
        <f>E85-D85</f>
        <v>5041</v>
      </c>
      <c r="H85" s="724">
        <f>G85/D85</f>
        <v>4.9295430320454525E-2</v>
      </c>
    </row>
    <row r="86" spans="1:22" ht="12.75" customHeight="1" x14ac:dyDescent="0.25">
      <c r="A86" s="61" t="s">
        <v>209</v>
      </c>
      <c r="B86" s="62" t="s">
        <v>210</v>
      </c>
      <c r="C86" s="63" t="s">
        <v>206</v>
      </c>
      <c r="D86" s="378">
        <v>88960</v>
      </c>
      <c r="E86" s="379">
        <v>93798</v>
      </c>
      <c r="G86" s="725">
        <f>E86-D86</f>
        <v>4838</v>
      </c>
      <c r="H86" s="726">
        <f>G86/D86</f>
        <v>5.4383992805755399E-2</v>
      </c>
    </row>
    <row r="87" spans="1:22" ht="12.75" customHeight="1" x14ac:dyDescent="0.25">
      <c r="A87" s="61" t="s">
        <v>212</v>
      </c>
      <c r="B87" s="62" t="s">
        <v>213</v>
      </c>
      <c r="C87" s="63" t="s">
        <v>208</v>
      </c>
      <c r="D87" s="378">
        <v>13301</v>
      </c>
      <c r="E87" s="379">
        <v>13504</v>
      </c>
      <c r="G87" s="725">
        <f>E87-D87</f>
        <v>203</v>
      </c>
      <c r="H87" s="726">
        <f>G87/D87</f>
        <v>1.5262010375159762E-2</v>
      </c>
    </row>
    <row r="88" spans="1:22" ht="12.75" customHeight="1" thickBot="1" x14ac:dyDescent="0.3">
      <c r="A88" s="100" t="s">
        <v>216</v>
      </c>
      <c r="B88" s="66" t="s">
        <v>653</v>
      </c>
      <c r="C88" s="75" t="s">
        <v>211</v>
      </c>
      <c r="D88" s="420">
        <f>D7+D46</f>
        <v>24795943</v>
      </c>
      <c r="E88" s="419">
        <f>E7+E46</f>
        <v>28797898</v>
      </c>
      <c r="G88" s="78">
        <f>E88-D88</f>
        <v>4001955</v>
      </c>
      <c r="H88" s="724">
        <f>G88/D88</f>
        <v>0.16139555571651379</v>
      </c>
    </row>
    <row r="89" spans="1:22" ht="12.75" customHeight="1" thickBot="1" x14ac:dyDescent="0.3">
      <c r="A89" s="71" t="s">
        <v>218</v>
      </c>
      <c r="B89" s="1314" t="s">
        <v>219</v>
      </c>
      <c r="C89" s="1315"/>
      <c r="D89" s="56" t="s">
        <v>478</v>
      </c>
      <c r="E89" s="57" t="s">
        <v>479</v>
      </c>
    </row>
    <row r="90" spans="1:22" ht="12.75" customHeight="1" x14ac:dyDescent="0.25">
      <c r="A90" s="104" t="s">
        <v>220</v>
      </c>
      <c r="B90" s="103" t="s">
        <v>654</v>
      </c>
      <c r="C90" s="69" t="s">
        <v>214</v>
      </c>
      <c r="D90" s="382">
        <f>D91+D95</f>
        <v>20886176</v>
      </c>
      <c r="E90" s="383">
        <f>E91+E95</f>
        <v>23670789</v>
      </c>
      <c r="G90" s="78">
        <f>E90-D90</f>
        <v>2784613</v>
      </c>
      <c r="H90" s="724">
        <f>G90/D90</f>
        <v>0.13332325649271556</v>
      </c>
    </row>
    <row r="91" spans="1:22" ht="12.75" customHeight="1" x14ac:dyDescent="0.25">
      <c r="A91" s="61" t="s">
        <v>222</v>
      </c>
      <c r="B91" s="62" t="s">
        <v>655</v>
      </c>
      <c r="C91" s="63" t="s">
        <v>215</v>
      </c>
      <c r="D91" s="376">
        <f>SUM(D92:D94)</f>
        <v>20751236</v>
      </c>
      <c r="E91" s="377">
        <f>SUM(E92:E94)</f>
        <v>23536030</v>
      </c>
    </row>
    <row r="92" spans="1:22" ht="12.75" customHeight="1" x14ac:dyDescent="0.25">
      <c r="A92" s="61" t="s">
        <v>224</v>
      </c>
      <c r="B92" s="62" t="s">
        <v>225</v>
      </c>
      <c r="C92" s="63" t="s">
        <v>217</v>
      </c>
      <c r="D92" s="378">
        <v>16095941</v>
      </c>
      <c r="E92" s="379">
        <v>17699655</v>
      </c>
      <c r="G92" s="78">
        <f>E92-D92</f>
        <v>1603714</v>
      </c>
      <c r="H92" s="724">
        <f>G92/D92</f>
        <v>9.9634684297115653E-2</v>
      </c>
      <c r="L92" s="19" t="s">
        <v>1130</v>
      </c>
      <c r="M92" s="19">
        <v>2015</v>
      </c>
      <c r="N92" s="19">
        <v>2016</v>
      </c>
      <c r="O92" s="19">
        <v>2017</v>
      </c>
      <c r="P92" s="19">
        <v>2018</v>
      </c>
      <c r="Q92" s="19">
        <v>2019</v>
      </c>
      <c r="R92" s="19">
        <v>2020</v>
      </c>
      <c r="S92" s="19">
        <v>2021</v>
      </c>
      <c r="T92" s="19">
        <v>2022</v>
      </c>
      <c r="U92" s="19">
        <v>2023</v>
      </c>
      <c r="V92" s="19">
        <v>2024</v>
      </c>
    </row>
    <row r="93" spans="1:22" ht="12.75" customHeight="1" x14ac:dyDescent="0.25">
      <c r="A93" s="61" t="s">
        <v>227</v>
      </c>
      <c r="B93" s="62" t="s">
        <v>228</v>
      </c>
      <c r="C93" s="63" t="s">
        <v>221</v>
      </c>
      <c r="D93" s="378">
        <v>4655295</v>
      </c>
      <c r="E93" s="379">
        <v>5836375</v>
      </c>
      <c r="G93" s="1296">
        <f>E93-D93</f>
        <v>1181080</v>
      </c>
      <c r="H93" s="1297">
        <f>G93/D93</f>
        <v>0.25370680053573402</v>
      </c>
      <c r="L93" s="19" t="s">
        <v>1131</v>
      </c>
      <c r="M93" s="845">
        <v>1.45</v>
      </c>
      <c r="N93" s="845">
        <v>1.5809813037032772</v>
      </c>
      <c r="O93" s="845">
        <v>1.6139877090410719</v>
      </c>
      <c r="P93" s="845">
        <v>1.8158878050673033</v>
      </c>
      <c r="Q93" s="845">
        <v>1.8664560995027135</v>
      </c>
      <c r="R93" s="845">
        <v>1.7193610081113195</v>
      </c>
      <c r="S93" s="845">
        <v>1.7119432238857955</v>
      </c>
      <c r="T93" s="845">
        <v>1.6004101295905153</v>
      </c>
      <c r="U93" s="845">
        <v>1.5547871831967683</v>
      </c>
      <c r="V93" s="845">
        <f>E77/E93</f>
        <v>1.5452332997794007</v>
      </c>
    </row>
    <row r="94" spans="1:22" ht="12.75" customHeight="1" x14ac:dyDescent="0.25">
      <c r="A94" s="61" t="s">
        <v>230</v>
      </c>
      <c r="B94" s="70" t="s">
        <v>231</v>
      </c>
      <c r="C94" s="63" t="s">
        <v>223</v>
      </c>
      <c r="D94" s="378">
        <v>0</v>
      </c>
      <c r="E94" s="379">
        <v>0</v>
      </c>
    </row>
    <row r="95" spans="1:22" ht="12.75" customHeight="1" x14ac:dyDescent="0.25">
      <c r="A95" s="64" t="s">
        <v>499</v>
      </c>
      <c r="B95" s="62" t="s">
        <v>656</v>
      </c>
      <c r="C95" s="63" t="s">
        <v>226</v>
      </c>
      <c r="D95" s="376">
        <f>SUM(D96:D98)</f>
        <v>134940</v>
      </c>
      <c r="E95" s="377">
        <f>SUM(E96:E98)</f>
        <v>134759</v>
      </c>
      <c r="G95" s="843">
        <f>E95-D95</f>
        <v>-181</v>
      </c>
      <c r="H95" s="844">
        <f>G95/D95</f>
        <v>-1.3413368904698385E-3</v>
      </c>
      <c r="T95" s="846"/>
      <c r="V95" s="724">
        <f>(E77-E93)/E93</f>
        <v>0.54523329977940072</v>
      </c>
    </row>
    <row r="96" spans="1:22" ht="12.75" customHeight="1" x14ac:dyDescent="0.25">
      <c r="A96" s="61" t="s">
        <v>234</v>
      </c>
      <c r="B96" s="62" t="s">
        <v>235</v>
      </c>
      <c r="C96" s="63" t="s">
        <v>229</v>
      </c>
      <c r="D96" s="378">
        <v>0</v>
      </c>
      <c r="E96" s="379">
        <v>79950</v>
      </c>
      <c r="J96" s="838">
        <f>(E96-D97)/D97</f>
        <v>-0.3541116308378372</v>
      </c>
    </row>
    <row r="97" spans="1:10" ht="12.75" customHeight="1" x14ac:dyDescent="0.25">
      <c r="A97" s="61" t="s">
        <v>237</v>
      </c>
      <c r="B97" s="62" t="s">
        <v>238</v>
      </c>
      <c r="C97" s="63" t="s">
        <v>232</v>
      </c>
      <c r="D97" s="378">
        <v>123783</v>
      </c>
      <c r="E97" s="379">
        <v>0</v>
      </c>
    </row>
    <row r="98" spans="1:10" ht="12.75" customHeight="1" x14ac:dyDescent="0.25">
      <c r="A98" s="61" t="s">
        <v>501</v>
      </c>
      <c r="B98" s="62" t="s">
        <v>240</v>
      </c>
      <c r="C98" s="63" t="s">
        <v>233</v>
      </c>
      <c r="D98" s="378">
        <v>11157</v>
      </c>
      <c r="E98" s="379">
        <v>54809</v>
      </c>
    </row>
    <row r="99" spans="1:10" ht="12.75" customHeight="1" x14ac:dyDescent="0.25">
      <c r="A99" s="61" t="s">
        <v>242</v>
      </c>
      <c r="B99" s="73" t="s">
        <v>657</v>
      </c>
      <c r="C99" s="63" t="s">
        <v>236</v>
      </c>
      <c r="D99" s="376">
        <f>D100+D102+D110+D134</f>
        <v>3909767</v>
      </c>
      <c r="E99" s="377">
        <f>E100+E102+E110+E134</f>
        <v>5127109</v>
      </c>
      <c r="G99" s="78">
        <f>E99-D99</f>
        <v>1217342</v>
      </c>
      <c r="H99" s="724">
        <f>G99/D99</f>
        <v>0.31135921910436093</v>
      </c>
      <c r="I99" s="793">
        <f>D99/D137</f>
        <v>0.15767768945105254</v>
      </c>
      <c r="J99" s="793">
        <f>E99/E137</f>
        <v>0.17803761232851092</v>
      </c>
    </row>
    <row r="100" spans="1:10" ht="12.75" customHeight="1" x14ac:dyDescent="0.25">
      <c r="A100" s="61" t="s">
        <v>244</v>
      </c>
      <c r="B100" s="62" t="s">
        <v>658</v>
      </c>
      <c r="C100" s="63" t="s">
        <v>239</v>
      </c>
      <c r="D100" s="376">
        <f>D101</f>
        <v>80585</v>
      </c>
      <c r="E100" s="377">
        <f>E101</f>
        <v>49587</v>
      </c>
      <c r="G100" s="843">
        <f>E100-D100</f>
        <v>-30998</v>
      </c>
      <c r="H100" s="844"/>
    </row>
    <row r="101" spans="1:10" ht="12.75" customHeight="1" x14ac:dyDescent="0.25">
      <c r="A101" s="61" t="s">
        <v>246</v>
      </c>
      <c r="B101" s="62" t="s">
        <v>247</v>
      </c>
      <c r="C101" s="63" t="s">
        <v>241</v>
      </c>
      <c r="D101" s="378">
        <v>80585</v>
      </c>
      <c r="E101" s="379">
        <v>49587</v>
      </c>
      <c r="G101" s="843">
        <f>E101-D101</f>
        <v>-30998</v>
      </c>
      <c r="H101" s="844"/>
    </row>
    <row r="102" spans="1:10" ht="12.75" customHeight="1" x14ac:dyDescent="0.25">
      <c r="A102" s="61" t="s">
        <v>249</v>
      </c>
      <c r="B102" s="62" t="s">
        <v>659</v>
      </c>
      <c r="C102" s="63" t="s">
        <v>243</v>
      </c>
      <c r="D102" s="376">
        <f>SUM(D103:D109)</f>
        <v>9474</v>
      </c>
      <c r="E102" s="377">
        <f>SUM(E103:E109)</f>
        <v>850</v>
      </c>
      <c r="G102" s="843">
        <f>E102-D102</f>
        <v>-8624</v>
      </c>
      <c r="H102" s="844">
        <f>G102/D102</f>
        <v>-0.91028076841883043</v>
      </c>
    </row>
    <row r="103" spans="1:10" ht="12.75" customHeight="1" x14ac:dyDescent="0.25">
      <c r="A103" s="61" t="s">
        <v>660</v>
      </c>
      <c r="B103" s="62" t="s">
        <v>251</v>
      </c>
      <c r="C103" s="63" t="s">
        <v>245</v>
      </c>
      <c r="D103" s="378">
        <v>0</v>
      </c>
      <c r="E103" s="379">
        <v>0</v>
      </c>
      <c r="G103" s="843"/>
      <c r="H103" s="844"/>
    </row>
    <row r="104" spans="1:10" ht="12.75" customHeight="1" x14ac:dyDescent="0.25">
      <c r="A104" s="61" t="s">
        <v>438</v>
      </c>
      <c r="B104" s="70" t="s">
        <v>253</v>
      </c>
      <c r="C104" s="63" t="s">
        <v>248</v>
      </c>
      <c r="D104" s="378">
        <v>0</v>
      </c>
      <c r="E104" s="379">
        <v>0</v>
      </c>
      <c r="G104" s="843"/>
      <c r="H104" s="844"/>
    </row>
    <row r="105" spans="1:10" ht="12.75" customHeight="1" x14ac:dyDescent="0.25">
      <c r="A105" s="61" t="s">
        <v>255</v>
      </c>
      <c r="B105" s="70" t="s">
        <v>256</v>
      </c>
      <c r="C105" s="63" t="s">
        <v>250</v>
      </c>
      <c r="D105" s="378">
        <v>0</v>
      </c>
      <c r="E105" s="379">
        <v>0</v>
      </c>
      <c r="G105" s="843"/>
      <c r="H105" s="844"/>
    </row>
    <row r="106" spans="1:10" ht="12.75" customHeight="1" x14ac:dyDescent="0.25">
      <c r="A106" s="61" t="s">
        <v>258</v>
      </c>
      <c r="B106" s="62" t="s">
        <v>259</v>
      </c>
      <c r="C106" s="63" t="s">
        <v>252</v>
      </c>
      <c r="D106" s="378">
        <v>0</v>
      </c>
      <c r="E106" s="379">
        <v>0</v>
      </c>
      <c r="G106" s="843">
        <f>E106-D106</f>
        <v>0</v>
      </c>
      <c r="H106" s="844" t="e">
        <f>G106/D106</f>
        <v>#DIV/0!</v>
      </c>
    </row>
    <row r="107" spans="1:10" ht="12.75" customHeight="1" x14ac:dyDescent="0.25">
      <c r="A107" s="61" t="s">
        <v>261</v>
      </c>
      <c r="B107" s="70" t="s">
        <v>262</v>
      </c>
      <c r="C107" s="63" t="s">
        <v>254</v>
      </c>
      <c r="D107" s="378">
        <v>0</v>
      </c>
      <c r="E107" s="379">
        <v>0</v>
      </c>
      <c r="G107" s="843">
        <f>E107-D107</f>
        <v>0</v>
      </c>
      <c r="H107" s="844"/>
    </row>
    <row r="108" spans="1:10" ht="12.75" customHeight="1" x14ac:dyDescent="0.25">
      <c r="A108" s="61" t="s">
        <v>264</v>
      </c>
      <c r="B108" s="62" t="s">
        <v>265</v>
      </c>
      <c r="C108" s="63" t="s">
        <v>257</v>
      </c>
      <c r="D108" s="378">
        <v>0</v>
      </c>
      <c r="E108" s="379">
        <v>0</v>
      </c>
      <c r="G108" s="843"/>
      <c r="H108" s="844"/>
    </row>
    <row r="109" spans="1:10" ht="12.75" customHeight="1" x14ac:dyDescent="0.25">
      <c r="A109" s="61" t="s">
        <v>267</v>
      </c>
      <c r="B109" s="70" t="s">
        <v>268</v>
      </c>
      <c r="C109" s="63" t="s">
        <v>260</v>
      </c>
      <c r="D109" s="378">
        <v>9474</v>
      </c>
      <c r="E109" s="379">
        <v>850</v>
      </c>
      <c r="G109" s="843">
        <f>E109-D109</f>
        <v>-8624</v>
      </c>
      <c r="H109" s="844">
        <f>G109/D109</f>
        <v>-0.91028076841883043</v>
      </c>
    </row>
    <row r="110" spans="1:10" ht="12.75" customHeight="1" x14ac:dyDescent="0.25">
      <c r="A110" s="64" t="s">
        <v>270</v>
      </c>
      <c r="B110" s="62" t="s">
        <v>661</v>
      </c>
      <c r="C110" s="63" t="s">
        <v>263</v>
      </c>
      <c r="D110" s="376">
        <f>SUM(D111:D133)</f>
        <v>2890764</v>
      </c>
      <c r="E110" s="377">
        <f>SUM(E111:E133)</f>
        <v>4088595</v>
      </c>
      <c r="G110" s="78">
        <f>E110-D110</f>
        <v>1197831</v>
      </c>
      <c r="H110" s="724">
        <f>G110/D110</f>
        <v>0.41436485302847276</v>
      </c>
    </row>
    <row r="111" spans="1:10" ht="12.75" customHeight="1" x14ac:dyDescent="0.25">
      <c r="A111" s="61" t="s">
        <v>272</v>
      </c>
      <c r="B111" s="62" t="s">
        <v>273</v>
      </c>
      <c r="C111" s="63" t="s">
        <v>266</v>
      </c>
      <c r="D111" s="378">
        <v>480240</v>
      </c>
      <c r="E111" s="379">
        <v>580020</v>
      </c>
      <c r="G111" s="843">
        <f>E111-D111</f>
        <v>99780</v>
      </c>
      <c r="H111" s="844">
        <f>G111/D111</f>
        <v>0.2077711144427786</v>
      </c>
    </row>
    <row r="112" spans="1:10" ht="12.75" customHeight="1" x14ac:dyDescent="0.25">
      <c r="A112" s="61" t="s">
        <v>275</v>
      </c>
      <c r="B112" s="62" t="s">
        <v>276</v>
      </c>
      <c r="C112" s="63" t="s">
        <v>269</v>
      </c>
      <c r="D112" s="378">
        <v>0</v>
      </c>
      <c r="E112" s="379">
        <v>0</v>
      </c>
      <c r="G112" s="843">
        <f>E112-D112</f>
        <v>0</v>
      </c>
      <c r="H112" s="847"/>
    </row>
    <row r="113" spans="1:8" ht="12.75" customHeight="1" x14ac:dyDescent="0.25">
      <c r="A113" s="61" t="s">
        <v>278</v>
      </c>
      <c r="B113" s="62" t="s">
        <v>279</v>
      </c>
      <c r="C113" s="63" t="s">
        <v>271</v>
      </c>
      <c r="D113" s="378">
        <v>73633</v>
      </c>
      <c r="E113" s="379">
        <v>79125</v>
      </c>
      <c r="G113" s="843">
        <f t="shared" ref="G113:G136" si="6">E113-D113</f>
        <v>5492</v>
      </c>
      <c r="H113" s="844">
        <f t="shared" ref="H113:H136" si="7">G113/D113</f>
        <v>7.4586123069819238E-2</v>
      </c>
    </row>
    <row r="114" spans="1:8" ht="12.75" customHeight="1" x14ac:dyDescent="0.25">
      <c r="A114" s="61" t="s">
        <v>281</v>
      </c>
      <c r="B114" s="62" t="s">
        <v>282</v>
      </c>
      <c r="C114" s="63" t="s">
        <v>274</v>
      </c>
      <c r="D114" s="378">
        <v>12722</v>
      </c>
      <c r="E114" s="379">
        <v>15129</v>
      </c>
      <c r="G114" s="843">
        <f t="shared" si="6"/>
        <v>2407</v>
      </c>
      <c r="H114" s="844">
        <f t="shared" si="7"/>
        <v>0.18919981135041661</v>
      </c>
    </row>
    <row r="115" spans="1:8" ht="12.75" customHeight="1" x14ac:dyDescent="0.25">
      <c r="A115" s="61" t="s">
        <v>284</v>
      </c>
      <c r="B115" s="62" t="s">
        <v>285</v>
      </c>
      <c r="C115" s="63" t="s">
        <v>277</v>
      </c>
      <c r="D115" s="378">
        <v>443983</v>
      </c>
      <c r="E115" s="379">
        <v>500980</v>
      </c>
      <c r="G115" s="843">
        <f t="shared" si="6"/>
        <v>56997</v>
      </c>
      <c r="H115" s="844">
        <f t="shared" si="7"/>
        <v>0.12837653693947743</v>
      </c>
    </row>
    <row r="116" spans="1:8" ht="12.75" customHeight="1" x14ac:dyDescent="0.25">
      <c r="A116" s="61" t="s">
        <v>287</v>
      </c>
      <c r="B116" s="62" t="s">
        <v>288</v>
      </c>
      <c r="C116" s="63" t="s">
        <v>280</v>
      </c>
      <c r="D116" s="378">
        <v>10346</v>
      </c>
      <c r="E116" s="379">
        <v>9798</v>
      </c>
      <c r="G116" s="843">
        <f t="shared" si="6"/>
        <v>-548</v>
      </c>
      <c r="H116" s="844">
        <f t="shared" si="7"/>
        <v>-5.2967330369224824E-2</v>
      </c>
    </row>
    <row r="117" spans="1:8" ht="12.75" customHeight="1" x14ac:dyDescent="0.25">
      <c r="A117" s="61" t="s">
        <v>480</v>
      </c>
      <c r="B117" s="62" t="s">
        <v>153</v>
      </c>
      <c r="C117" s="63" t="s">
        <v>283</v>
      </c>
      <c r="D117" s="378">
        <v>235802</v>
      </c>
      <c r="E117" s="379">
        <v>277793</v>
      </c>
      <c r="G117" s="843">
        <f t="shared" si="6"/>
        <v>41991</v>
      </c>
      <c r="H117" s="844">
        <f t="shared" si="7"/>
        <v>0.17807736999686177</v>
      </c>
    </row>
    <row r="118" spans="1:8" ht="12.75" customHeight="1" x14ac:dyDescent="0.25">
      <c r="A118" s="61" t="s">
        <v>291</v>
      </c>
      <c r="B118" s="62" t="s">
        <v>156</v>
      </c>
      <c r="C118" s="63" t="s">
        <v>286</v>
      </c>
      <c r="D118" s="378">
        <v>0</v>
      </c>
      <c r="E118" s="379">
        <v>0</v>
      </c>
      <c r="G118" s="843">
        <f t="shared" si="6"/>
        <v>0</v>
      </c>
      <c r="H118" s="847"/>
    </row>
    <row r="119" spans="1:8" ht="12.75" customHeight="1" x14ac:dyDescent="0.25">
      <c r="A119" s="61" t="s">
        <v>293</v>
      </c>
      <c r="B119" s="62" t="s">
        <v>159</v>
      </c>
      <c r="C119" s="63" t="s">
        <v>289</v>
      </c>
      <c r="D119" s="378">
        <v>58668</v>
      </c>
      <c r="E119" s="379">
        <v>72391</v>
      </c>
      <c r="G119" s="843">
        <f t="shared" si="6"/>
        <v>13723</v>
      </c>
      <c r="H119" s="844">
        <f t="shared" si="7"/>
        <v>0.23390945660325901</v>
      </c>
    </row>
    <row r="120" spans="1:8" ht="12.75" customHeight="1" x14ac:dyDescent="0.25">
      <c r="A120" s="61" t="s">
        <v>295</v>
      </c>
      <c r="B120" s="62" t="s">
        <v>162</v>
      </c>
      <c r="C120" s="63" t="s">
        <v>290</v>
      </c>
      <c r="D120" s="378">
        <v>14065</v>
      </c>
      <c r="E120" s="379">
        <v>9608</v>
      </c>
      <c r="G120" s="843">
        <f t="shared" si="6"/>
        <v>-4457</v>
      </c>
      <c r="H120" s="844">
        <f t="shared" si="7"/>
        <v>-0.31688588695343051</v>
      </c>
    </row>
    <row r="121" spans="1:8" ht="12.75" customHeight="1" x14ac:dyDescent="0.25">
      <c r="A121" s="61" t="s">
        <v>297</v>
      </c>
      <c r="B121" s="62" t="s">
        <v>165</v>
      </c>
      <c r="C121" s="63" t="s">
        <v>292</v>
      </c>
      <c r="D121" s="378">
        <v>7231</v>
      </c>
      <c r="E121" s="379">
        <v>10992</v>
      </c>
      <c r="G121" s="843">
        <f t="shared" si="6"/>
        <v>3761</v>
      </c>
      <c r="H121" s="844">
        <f t="shared" si="7"/>
        <v>0.52012169824367305</v>
      </c>
    </row>
    <row r="122" spans="1:8" ht="12.75" customHeight="1" x14ac:dyDescent="0.25">
      <c r="A122" s="61" t="s">
        <v>299</v>
      </c>
      <c r="B122" s="62" t="s">
        <v>167</v>
      </c>
      <c r="C122" s="63" t="s">
        <v>294</v>
      </c>
      <c r="D122" s="378">
        <v>1337276</v>
      </c>
      <c r="E122" s="379">
        <v>2242757</v>
      </c>
      <c r="G122" s="1294">
        <f t="shared" si="6"/>
        <v>905481</v>
      </c>
      <c r="H122" s="1295">
        <f t="shared" si="7"/>
        <v>0.67710854004708076</v>
      </c>
    </row>
    <row r="123" spans="1:8" ht="12.6" customHeight="1" x14ac:dyDescent="0.25">
      <c r="A123" s="61" t="s">
        <v>495</v>
      </c>
      <c r="B123" s="62" t="s">
        <v>169</v>
      </c>
      <c r="C123" s="63" t="s">
        <v>296</v>
      </c>
      <c r="D123" s="378">
        <v>12291</v>
      </c>
      <c r="E123" s="379">
        <v>1588</v>
      </c>
      <c r="G123" s="843">
        <f t="shared" si="6"/>
        <v>-10703</v>
      </c>
      <c r="H123" s="844">
        <f t="shared" si="7"/>
        <v>-0.8707997721910341</v>
      </c>
    </row>
    <row r="124" spans="1:8" ht="12.6" customHeight="1" x14ac:dyDescent="0.25">
      <c r="A124" s="61" t="s">
        <v>500</v>
      </c>
      <c r="B124" s="70" t="s">
        <v>302</v>
      </c>
      <c r="C124" s="63" t="s">
        <v>298</v>
      </c>
      <c r="D124" s="378">
        <v>0</v>
      </c>
      <c r="E124" s="379">
        <v>0</v>
      </c>
      <c r="G124" s="843">
        <f t="shared" si="6"/>
        <v>0</v>
      </c>
      <c r="H124" s="847"/>
    </row>
    <row r="125" spans="1:8" ht="12.75" customHeight="1" x14ac:dyDescent="0.25">
      <c r="A125" s="61" t="s">
        <v>662</v>
      </c>
      <c r="B125" s="70" t="s">
        <v>304</v>
      </c>
      <c r="C125" s="63" t="s">
        <v>300</v>
      </c>
      <c r="D125" s="378">
        <v>0</v>
      </c>
      <c r="E125" s="379">
        <v>0</v>
      </c>
      <c r="G125" s="843">
        <f t="shared" si="6"/>
        <v>0</v>
      </c>
      <c r="H125" s="844" t="e">
        <f t="shared" si="7"/>
        <v>#DIV/0!</v>
      </c>
    </row>
    <row r="126" spans="1:8" ht="12.75" customHeight="1" x14ac:dyDescent="0.25">
      <c r="A126" s="61" t="s">
        <v>306</v>
      </c>
      <c r="B126" s="70" t="s">
        <v>173</v>
      </c>
      <c r="C126" s="63" t="s">
        <v>301</v>
      </c>
      <c r="D126" s="378">
        <v>0</v>
      </c>
      <c r="E126" s="379">
        <v>0</v>
      </c>
      <c r="G126" s="843">
        <f t="shared" si="6"/>
        <v>0</v>
      </c>
      <c r="H126" s="847"/>
    </row>
    <row r="127" spans="1:8" ht="12.75" customHeight="1" x14ac:dyDescent="0.25">
      <c r="A127" s="61" t="s">
        <v>308</v>
      </c>
      <c r="B127" s="70" t="s">
        <v>309</v>
      </c>
      <c r="C127" s="63" t="s">
        <v>303</v>
      </c>
      <c r="D127" s="378">
        <v>130505</v>
      </c>
      <c r="E127" s="379">
        <v>202606</v>
      </c>
      <c r="G127" s="843">
        <f t="shared" si="6"/>
        <v>72101</v>
      </c>
      <c r="H127" s="844">
        <f t="shared" si="7"/>
        <v>0.55247691659323395</v>
      </c>
    </row>
    <row r="128" spans="1:8" ht="12.75" customHeight="1" x14ac:dyDescent="0.25">
      <c r="A128" s="61" t="s">
        <v>663</v>
      </c>
      <c r="B128" s="62" t="s">
        <v>311</v>
      </c>
      <c r="C128" s="63" t="s">
        <v>305</v>
      </c>
      <c r="D128" s="378">
        <v>175</v>
      </c>
      <c r="E128" s="379">
        <v>0</v>
      </c>
      <c r="G128" s="843">
        <f t="shared" si="6"/>
        <v>-175</v>
      </c>
      <c r="H128" s="847"/>
    </row>
    <row r="129" spans="1:8" ht="12.75" customHeight="1" x14ac:dyDescent="0.25">
      <c r="A129" s="61" t="s">
        <v>313</v>
      </c>
      <c r="B129" s="62" t="s">
        <v>314</v>
      </c>
      <c r="C129" s="63" t="s">
        <v>307</v>
      </c>
      <c r="D129" s="378">
        <v>0</v>
      </c>
      <c r="E129" s="379">
        <v>0</v>
      </c>
      <c r="G129" s="843">
        <f t="shared" si="6"/>
        <v>0</v>
      </c>
      <c r="H129" s="847"/>
    </row>
    <row r="130" spans="1:8" ht="12.75" customHeight="1" x14ac:dyDescent="0.25">
      <c r="A130" s="61" t="s">
        <v>439</v>
      </c>
      <c r="B130" s="62" t="s">
        <v>316</v>
      </c>
      <c r="C130" s="63" t="s">
        <v>310</v>
      </c>
      <c r="D130" s="378">
        <v>0</v>
      </c>
      <c r="E130" s="379">
        <v>0</v>
      </c>
      <c r="G130" s="843">
        <f t="shared" si="6"/>
        <v>0</v>
      </c>
      <c r="H130" s="847"/>
    </row>
    <row r="131" spans="1:8" ht="12.75" customHeight="1" x14ac:dyDescent="0.25">
      <c r="A131" s="61" t="s">
        <v>318</v>
      </c>
      <c r="B131" s="62" t="s">
        <v>319</v>
      </c>
      <c r="C131" s="63" t="s">
        <v>312</v>
      </c>
      <c r="D131" s="378">
        <v>0</v>
      </c>
      <c r="E131" s="379">
        <v>0</v>
      </c>
      <c r="G131" s="843">
        <f t="shared" si="6"/>
        <v>0</v>
      </c>
      <c r="H131" s="847"/>
    </row>
    <row r="132" spans="1:8" ht="12.75" customHeight="1" x14ac:dyDescent="0.25">
      <c r="A132" s="61" t="s">
        <v>321</v>
      </c>
      <c r="B132" s="62" t="s">
        <v>265</v>
      </c>
      <c r="C132" s="63" t="s">
        <v>315</v>
      </c>
      <c r="D132" s="378">
        <v>73827</v>
      </c>
      <c r="E132" s="379">
        <v>85808</v>
      </c>
      <c r="G132" s="843">
        <f t="shared" si="6"/>
        <v>11981</v>
      </c>
      <c r="H132" s="844">
        <f t="shared" si="7"/>
        <v>0.16228480095358067</v>
      </c>
    </row>
    <row r="133" spans="1:8" ht="12.75" customHeight="1" x14ac:dyDescent="0.25">
      <c r="A133" s="61" t="s">
        <v>323</v>
      </c>
      <c r="B133" s="62" t="s">
        <v>324</v>
      </c>
      <c r="C133" s="63" t="s">
        <v>317</v>
      </c>
      <c r="D133" s="378">
        <v>0</v>
      </c>
      <c r="E133" s="379"/>
      <c r="G133" s="843">
        <f t="shared" si="6"/>
        <v>0</v>
      </c>
      <c r="H133" s="847"/>
    </row>
    <row r="134" spans="1:8" ht="12.75" customHeight="1" x14ac:dyDescent="0.25">
      <c r="A134" s="64" t="s">
        <v>326</v>
      </c>
      <c r="B134" s="62" t="s">
        <v>664</v>
      </c>
      <c r="C134" s="63" t="s">
        <v>320</v>
      </c>
      <c r="D134" s="376">
        <f>SUM(D135:D136)</f>
        <v>928944</v>
      </c>
      <c r="E134" s="377">
        <f>SUM(E135:E136)</f>
        <v>988077</v>
      </c>
      <c r="G134" s="78">
        <f t="shared" si="6"/>
        <v>59133</v>
      </c>
      <c r="H134" s="724">
        <f t="shared" si="7"/>
        <v>6.3656151501059272E-2</v>
      </c>
    </row>
    <row r="135" spans="1:8" ht="12.75" customHeight="1" x14ac:dyDescent="0.25">
      <c r="A135" s="61" t="s">
        <v>328</v>
      </c>
      <c r="B135" s="62" t="s">
        <v>329</v>
      </c>
      <c r="C135" s="63" t="s">
        <v>322</v>
      </c>
      <c r="D135" s="378">
        <v>35572</v>
      </c>
      <c r="E135" s="379">
        <v>44685</v>
      </c>
      <c r="G135" s="843">
        <f t="shared" si="6"/>
        <v>9113</v>
      </c>
      <c r="H135" s="844">
        <f t="shared" si="7"/>
        <v>0.25618463960418308</v>
      </c>
    </row>
    <row r="136" spans="1:8" ht="12.75" customHeight="1" x14ac:dyDescent="0.25">
      <c r="A136" s="61" t="s">
        <v>330</v>
      </c>
      <c r="B136" s="62" t="s">
        <v>331</v>
      </c>
      <c r="C136" s="63" t="s">
        <v>325</v>
      </c>
      <c r="D136" s="378">
        <v>893372</v>
      </c>
      <c r="E136" s="379">
        <v>943392</v>
      </c>
      <c r="G136" s="1282">
        <f t="shared" si="6"/>
        <v>50020</v>
      </c>
      <c r="H136" s="1283">
        <f t="shared" si="7"/>
        <v>5.5990113860743339E-2</v>
      </c>
    </row>
    <row r="137" spans="1:8" ht="12.75" customHeight="1" thickBot="1" x14ac:dyDescent="0.3">
      <c r="A137" s="100" t="s">
        <v>332</v>
      </c>
      <c r="B137" s="74" t="s">
        <v>665</v>
      </c>
      <c r="C137" s="75" t="s">
        <v>327</v>
      </c>
      <c r="D137" s="418">
        <f>D90+D99</f>
        <v>24795943</v>
      </c>
      <c r="E137" s="419">
        <f>E90+E99</f>
        <v>28797898</v>
      </c>
      <c r="G137" s="78">
        <f>E137-D137</f>
        <v>4001955</v>
      </c>
      <c r="H137" s="724">
        <f>G137/D137</f>
        <v>0.16139555571651379</v>
      </c>
    </row>
    <row r="138" spans="1:8" ht="4.9000000000000004" customHeight="1" x14ac:dyDescent="0.25">
      <c r="A138" s="76"/>
      <c r="B138" s="77"/>
      <c r="C138" s="77"/>
    </row>
    <row r="139" spans="1:8" ht="12.75" customHeight="1" x14ac:dyDescent="0.25">
      <c r="A139" s="76" t="s">
        <v>467</v>
      </c>
      <c r="B139" s="77"/>
      <c r="C139" s="77"/>
    </row>
    <row r="140" spans="1:8" ht="12.75" customHeight="1" x14ac:dyDescent="0.25">
      <c r="A140" s="79" t="s">
        <v>666</v>
      </c>
      <c r="B140" s="80"/>
      <c r="C140" s="80"/>
    </row>
    <row r="141" spans="1:8" ht="12.75" customHeight="1" x14ac:dyDescent="0.25">
      <c r="A141" s="19" t="s">
        <v>667</v>
      </c>
    </row>
    <row r="142" spans="1:8" x14ac:dyDescent="0.25">
      <c r="A142" s="19" t="s">
        <v>668</v>
      </c>
    </row>
    <row r="143" spans="1:8" ht="12.75" customHeight="1" x14ac:dyDescent="0.25">
      <c r="A143" s="19" t="s">
        <v>669</v>
      </c>
    </row>
    <row r="144" spans="1:8" x14ac:dyDescent="0.25">
      <c r="A144" s="592" t="s">
        <v>1045</v>
      </c>
    </row>
    <row r="145" spans="1:8" x14ac:dyDescent="0.25">
      <c r="A145" s="592" t="s">
        <v>1046</v>
      </c>
    </row>
    <row r="147" spans="1:8" x14ac:dyDescent="0.25">
      <c r="G147" s="1226">
        <f>E96-'2'!D71</f>
        <v>0</v>
      </c>
      <c r="H147" s="711" t="s">
        <v>1110</v>
      </c>
    </row>
    <row r="148" spans="1:8" x14ac:dyDescent="0.25">
      <c r="B148" s="711" t="s">
        <v>1111</v>
      </c>
      <c r="D148" s="1226">
        <f>D88-D137</f>
        <v>0</v>
      </c>
      <c r="E148" s="1226">
        <f>E88-E137</f>
        <v>0</v>
      </c>
    </row>
    <row r="149" spans="1:8" x14ac:dyDescent="0.25">
      <c r="B149" s="711"/>
      <c r="E149" s="1226"/>
    </row>
    <row r="151" spans="1:8" x14ac:dyDescent="0.25">
      <c r="B151" s="710"/>
    </row>
  </sheetData>
  <mergeCells count="6">
    <mergeCell ref="B89:C89"/>
    <mergeCell ref="A1:E1"/>
    <mergeCell ref="A2:E2"/>
    <mergeCell ref="A3:E3"/>
    <mergeCell ref="A4:E4"/>
    <mergeCell ref="B6:C6"/>
  </mergeCells>
  <printOptions horizontalCentered="1"/>
  <pageMargins left="0.59055118110236227" right="0" top="0.59055118110236227" bottom="0" header="0" footer="0"/>
  <pageSetup paperSize="9" scale="70" orientation="portrait" r:id="rId1"/>
  <rowBreaks count="1" manualBreakCount="1">
    <brk id="88"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U62"/>
  <sheetViews>
    <sheetView zoomScaleNormal="100" workbookViewId="0">
      <pane xSplit="2" ySplit="8" topLeftCell="C9" activePane="bottomRight" state="frozen"/>
      <selection activeCell="B151" sqref="B151"/>
      <selection pane="topRight" activeCell="B151" sqref="B151"/>
      <selection pane="bottomLeft" activeCell="B151" sqref="B151"/>
      <selection pane="bottomRight" activeCell="B151" sqref="B151"/>
    </sheetView>
  </sheetViews>
  <sheetFormatPr defaultColWidth="9.140625" defaultRowHeight="12.75" x14ac:dyDescent="0.25"/>
  <cols>
    <col min="1" max="1" width="16.42578125" style="8" customWidth="1"/>
    <col min="2" max="2" width="50.85546875" style="8" customWidth="1"/>
    <col min="3" max="3" width="10.7109375" style="8" customWidth="1"/>
    <col min="4" max="4" width="10.28515625" style="8" customWidth="1"/>
    <col min="5" max="5" width="11.42578125" style="8" customWidth="1"/>
    <col min="6" max="6" width="12.140625" style="8" customWidth="1"/>
    <col min="7" max="9" width="10.7109375" style="8" customWidth="1"/>
    <col min="10" max="10" width="11" style="8" customWidth="1"/>
    <col min="11" max="12" width="10.7109375" style="8" customWidth="1"/>
    <col min="13" max="13" width="11.28515625" style="8" customWidth="1"/>
    <col min="14" max="14" width="10.7109375" style="8" customWidth="1"/>
    <col min="15" max="19" width="9.140625" style="8" customWidth="1"/>
    <col min="20" max="16384" width="9.140625" style="8"/>
  </cols>
  <sheetData>
    <row r="1" spans="1:21" ht="26.25" x14ac:dyDescent="0.25">
      <c r="A1" s="338" t="s">
        <v>902</v>
      </c>
      <c r="B1" s="7"/>
      <c r="C1" s="7"/>
      <c r="D1" s="7"/>
      <c r="E1" s="7"/>
      <c r="F1" s="7"/>
      <c r="G1" s="7"/>
      <c r="H1" s="7"/>
      <c r="I1" s="7"/>
      <c r="J1" s="7"/>
      <c r="K1" s="7"/>
      <c r="L1" s="7"/>
    </row>
    <row r="2" spans="1:21" ht="4.5" customHeight="1" x14ac:dyDescent="0.25">
      <c r="A2" s="12"/>
      <c r="B2" s="7"/>
      <c r="C2" s="7"/>
      <c r="D2" s="7"/>
      <c r="E2" s="7"/>
      <c r="F2" s="7"/>
      <c r="G2" s="7"/>
      <c r="H2" s="7"/>
      <c r="I2" s="7"/>
      <c r="J2" s="7"/>
      <c r="K2" s="7"/>
      <c r="L2" s="7"/>
    </row>
    <row r="3" spans="1:21" ht="18" customHeight="1" x14ac:dyDescent="0.25">
      <c r="A3" s="239" t="s">
        <v>562</v>
      </c>
      <c r="B3" s="7"/>
      <c r="C3" s="7"/>
      <c r="D3" s="7"/>
      <c r="E3" s="7"/>
      <c r="F3" s="7"/>
      <c r="G3" s="7"/>
      <c r="H3" s="7"/>
      <c r="I3" s="7"/>
      <c r="J3" s="7"/>
      <c r="K3" s="7"/>
      <c r="L3" s="7"/>
      <c r="N3" s="340" t="s">
        <v>903</v>
      </c>
    </row>
    <row r="4" spans="1:21" ht="4.5" customHeight="1" thickBot="1" x14ac:dyDescent="0.3">
      <c r="A4" s="7"/>
      <c r="B4" s="7"/>
      <c r="C4" s="7"/>
      <c r="D4" s="7"/>
      <c r="E4" s="7"/>
      <c r="F4" s="7"/>
      <c r="G4" s="7"/>
      <c r="H4" s="7"/>
      <c r="I4" s="7"/>
      <c r="J4" s="7"/>
      <c r="K4" s="13"/>
      <c r="L4" s="7"/>
      <c r="M4" s="13"/>
    </row>
    <row r="5" spans="1:21" ht="16.7" customHeight="1" x14ac:dyDescent="0.25">
      <c r="A5" s="1615" t="s">
        <v>341</v>
      </c>
      <c r="B5" s="1642" t="s">
        <v>874</v>
      </c>
      <c r="C5" s="1631" t="s">
        <v>897</v>
      </c>
      <c r="D5" s="1648"/>
      <c r="E5" s="1631" t="s">
        <v>422</v>
      </c>
      <c r="F5" s="1645"/>
      <c r="G5" s="1645"/>
      <c r="H5" s="1645"/>
      <c r="I5" s="1645"/>
      <c r="J5" s="1645"/>
      <c r="K5" s="1645"/>
      <c r="L5" s="1646"/>
      <c r="M5" s="1631" t="s">
        <v>475</v>
      </c>
      <c r="N5" s="1632"/>
    </row>
    <row r="6" spans="1:21" ht="17.25" customHeight="1" x14ac:dyDescent="0.25">
      <c r="A6" s="1616"/>
      <c r="B6" s="1643"/>
      <c r="C6" s="1633" t="s">
        <v>423</v>
      </c>
      <c r="D6" s="1635" t="s">
        <v>424</v>
      </c>
      <c r="E6" s="1637" t="s">
        <v>423</v>
      </c>
      <c r="F6" s="1638"/>
      <c r="G6" s="1638"/>
      <c r="H6" s="1638"/>
      <c r="I6" s="1639"/>
      <c r="J6" s="1640" t="s">
        <v>424</v>
      </c>
      <c r="K6" s="1640"/>
      <c r="L6" s="1641"/>
      <c r="M6" s="1633" t="s">
        <v>423</v>
      </c>
      <c r="N6" s="1635" t="s">
        <v>424</v>
      </c>
    </row>
    <row r="7" spans="1:21" ht="33.6" customHeight="1" x14ac:dyDescent="0.25">
      <c r="A7" s="1616"/>
      <c r="B7" s="1644"/>
      <c r="C7" s="1634"/>
      <c r="D7" s="1636"/>
      <c r="E7" s="33" t="s">
        <v>425</v>
      </c>
      <c r="F7" s="34" t="s">
        <v>572</v>
      </c>
      <c r="G7" s="35" t="s">
        <v>573</v>
      </c>
      <c r="H7" s="34" t="s">
        <v>428</v>
      </c>
      <c r="I7" s="34" t="s">
        <v>371</v>
      </c>
      <c r="J7" s="34" t="s">
        <v>426</v>
      </c>
      <c r="K7" s="34" t="s">
        <v>344</v>
      </c>
      <c r="L7" s="36" t="s">
        <v>371</v>
      </c>
      <c r="M7" s="1634"/>
      <c r="N7" s="1636"/>
    </row>
    <row r="8" spans="1:21" s="9" customFormat="1" ht="13.5" customHeight="1" thickBot="1" x14ac:dyDescent="0.3">
      <c r="A8" s="1617"/>
      <c r="B8" s="28" t="s">
        <v>405</v>
      </c>
      <c r="C8" s="29" t="s">
        <v>406</v>
      </c>
      <c r="D8" s="28" t="s">
        <v>407</v>
      </c>
      <c r="E8" s="29" t="s">
        <v>408</v>
      </c>
      <c r="F8" s="30" t="s">
        <v>409</v>
      </c>
      <c r="G8" s="31" t="s">
        <v>410</v>
      </c>
      <c r="H8" s="31" t="s">
        <v>411</v>
      </c>
      <c r="I8" s="30" t="s">
        <v>412</v>
      </c>
      <c r="J8" s="30" t="s">
        <v>413</v>
      </c>
      <c r="K8" s="30" t="s">
        <v>414</v>
      </c>
      <c r="L8" s="32" t="s">
        <v>442</v>
      </c>
      <c r="M8" s="29" t="s">
        <v>476</v>
      </c>
      <c r="N8" s="28" t="s">
        <v>477</v>
      </c>
    </row>
    <row r="9" spans="1:21" ht="13.5" customHeight="1" x14ac:dyDescent="0.25">
      <c r="A9" s="27">
        <v>1</v>
      </c>
      <c r="B9" s="226" t="s">
        <v>1181</v>
      </c>
      <c r="C9" s="20">
        <v>16578.291659999999</v>
      </c>
      <c r="D9" s="21">
        <v>6124.2166699999998</v>
      </c>
      <c r="E9" s="20">
        <v>8748.4796800000004</v>
      </c>
      <c r="F9" s="227">
        <v>6242.6558400000004</v>
      </c>
      <c r="G9" s="228">
        <v>0</v>
      </c>
      <c r="H9" s="228">
        <v>1843.33555</v>
      </c>
      <c r="I9" s="227">
        <f>+E9+F9+G9+H9</f>
        <v>16834.47107</v>
      </c>
      <c r="J9" s="227">
        <v>6200.0701300000001</v>
      </c>
      <c r="K9" s="227">
        <v>-54.246949999999998</v>
      </c>
      <c r="L9" s="229">
        <f>J9+K9</f>
        <v>6145.8231800000003</v>
      </c>
      <c r="M9" s="20">
        <f>I9-C9</f>
        <v>256.17941000000064</v>
      </c>
      <c r="N9" s="21">
        <f>L9-D9</f>
        <v>21.606510000000526</v>
      </c>
      <c r="O9" s="114"/>
      <c r="P9" s="114"/>
    </row>
    <row r="10" spans="1:21" ht="13.5" customHeight="1" x14ac:dyDescent="0.25">
      <c r="A10" s="27">
        <f>A9+1</f>
        <v>2</v>
      </c>
      <c r="B10" s="226" t="s">
        <v>854</v>
      </c>
      <c r="C10" s="20">
        <v>7184.8022499999997</v>
      </c>
      <c r="D10" s="21">
        <v>93.542010000000005</v>
      </c>
      <c r="E10" s="20">
        <v>2203.5795699999999</v>
      </c>
      <c r="F10" s="227">
        <v>586.16769999999997</v>
      </c>
      <c r="G10" s="228">
        <v>1577.76441</v>
      </c>
      <c r="H10" s="228">
        <v>439.81</v>
      </c>
      <c r="I10" s="227">
        <f t="shared" ref="I10:I23" si="0">+E10+F10+G10+H10</f>
        <v>4807.32168</v>
      </c>
      <c r="J10" s="227">
        <v>859.83042999999998</v>
      </c>
      <c r="K10" s="227">
        <v>134.77225999999999</v>
      </c>
      <c r="L10" s="229">
        <f t="shared" ref="L10:L16" si="1">J10+K10</f>
        <v>994.60268999999994</v>
      </c>
      <c r="M10" s="20">
        <f t="shared" ref="M10:M16" si="2">I10-C10</f>
        <v>-2377.4805699999997</v>
      </c>
      <c r="N10" s="21">
        <f t="shared" ref="N10:N16" si="3">L10-D10</f>
        <v>901.06067999999993</v>
      </c>
      <c r="O10" s="114"/>
      <c r="P10" s="114"/>
      <c r="Q10" s="114"/>
      <c r="U10" s="496"/>
    </row>
    <row r="11" spans="1:21" ht="13.5" customHeight="1" x14ac:dyDescent="0.25">
      <c r="A11" s="27">
        <f t="shared" ref="A11:A23" si="4">A10+1</f>
        <v>3</v>
      </c>
      <c r="B11" s="226" t="s">
        <v>1079</v>
      </c>
      <c r="C11" s="20">
        <v>9257.5019200000006</v>
      </c>
      <c r="D11" s="21">
        <v>1210.5029999999999</v>
      </c>
      <c r="E11" s="20">
        <v>3530.95975</v>
      </c>
      <c r="F11" s="227">
        <v>463.68403999999998</v>
      </c>
      <c r="G11" s="228">
        <v>2078.85772</v>
      </c>
      <c r="H11" s="228">
        <v>702.09500000000003</v>
      </c>
      <c r="I11" s="227">
        <f t="shared" si="0"/>
        <v>6775.5965100000003</v>
      </c>
      <c r="J11" s="227">
        <v>2714.88229</v>
      </c>
      <c r="K11" s="227">
        <v>332.55540999999999</v>
      </c>
      <c r="L11" s="229">
        <f t="shared" si="1"/>
        <v>3047.4376999999999</v>
      </c>
      <c r="M11" s="20">
        <f t="shared" si="2"/>
        <v>-2481.9054100000003</v>
      </c>
      <c r="N11" s="21">
        <f t="shared" si="3"/>
        <v>1836.9347</v>
      </c>
      <c r="O11" s="114"/>
      <c r="P11" s="114"/>
      <c r="U11" s="496"/>
    </row>
    <row r="12" spans="1:21" ht="13.5" customHeight="1" x14ac:dyDescent="0.25">
      <c r="A12" s="27">
        <f t="shared" si="4"/>
        <v>4</v>
      </c>
      <c r="B12" s="226" t="s">
        <v>855</v>
      </c>
      <c r="C12" s="20">
        <v>5664.3216599999996</v>
      </c>
      <c r="D12" s="21">
        <v>362.54622999999998</v>
      </c>
      <c r="E12" s="20">
        <v>1782.26107</v>
      </c>
      <c r="F12" s="227">
        <v>500.97041999999999</v>
      </c>
      <c r="G12" s="228">
        <v>8.2223199999999999</v>
      </c>
      <c r="H12" s="228">
        <v>354.637</v>
      </c>
      <c r="I12" s="227">
        <f t="shared" si="0"/>
        <v>2646.0908100000001</v>
      </c>
      <c r="J12" s="227">
        <v>473.99898000000002</v>
      </c>
      <c r="K12" s="227">
        <v>133.53565</v>
      </c>
      <c r="L12" s="229">
        <f>J12+K12</f>
        <v>607.53462999999999</v>
      </c>
      <c r="M12" s="20">
        <f>I12-C12</f>
        <v>-3018.2308499999995</v>
      </c>
      <c r="N12" s="21">
        <f>L12-D12</f>
        <v>244.98840000000001</v>
      </c>
      <c r="O12" s="114"/>
      <c r="P12" s="114"/>
      <c r="U12" s="496"/>
    </row>
    <row r="13" spans="1:21" ht="13.5" customHeight="1" x14ac:dyDescent="0.25">
      <c r="A13" s="27">
        <f>A12+1</f>
        <v>5</v>
      </c>
      <c r="B13" s="226" t="s">
        <v>1080</v>
      </c>
      <c r="C13" s="20">
        <v>13654.301750000001</v>
      </c>
      <c r="D13" s="21">
        <v>3114.0219499999998</v>
      </c>
      <c r="E13" s="20">
        <v>2535.7413999999999</v>
      </c>
      <c r="F13" s="227">
        <v>509.02697000000001</v>
      </c>
      <c r="G13" s="228">
        <v>125.10154</v>
      </c>
      <c r="H13" s="228">
        <v>499.83199999999999</v>
      </c>
      <c r="I13" s="227">
        <f t="shared" si="0"/>
        <v>3669.7019099999998</v>
      </c>
      <c r="J13" s="227">
        <v>1429.3254400000001</v>
      </c>
      <c r="K13" s="227">
        <v>4243.8188499999997</v>
      </c>
      <c r="L13" s="229">
        <f t="shared" si="1"/>
        <v>5673.1442900000002</v>
      </c>
      <c r="M13" s="20">
        <f t="shared" si="2"/>
        <v>-9984.5998400000008</v>
      </c>
      <c r="N13" s="21">
        <f t="shared" si="3"/>
        <v>2559.1223400000003</v>
      </c>
      <c r="O13" s="114"/>
      <c r="P13" s="114"/>
      <c r="U13" s="496"/>
    </row>
    <row r="14" spans="1:21" ht="13.5" customHeight="1" x14ac:dyDescent="0.25">
      <c r="A14" s="27">
        <f t="shared" si="4"/>
        <v>6</v>
      </c>
      <c r="B14" s="226" t="s">
        <v>1250</v>
      </c>
      <c r="C14" s="20">
        <v>7330.4080599999998</v>
      </c>
      <c r="D14" s="21">
        <v>2566.71648</v>
      </c>
      <c r="E14" s="20">
        <v>4508.1199200000001</v>
      </c>
      <c r="F14" s="227">
        <v>336.26769000000002</v>
      </c>
      <c r="G14" s="228">
        <v>122.04104</v>
      </c>
      <c r="H14" s="228">
        <v>879.99800000000005</v>
      </c>
      <c r="I14" s="227">
        <f t="shared" si="0"/>
        <v>5846.4266499999994</v>
      </c>
      <c r="J14" s="227">
        <v>617.61640999999997</v>
      </c>
      <c r="K14" s="227">
        <v>960.81416000000002</v>
      </c>
      <c r="L14" s="229">
        <f t="shared" si="1"/>
        <v>1578.43057</v>
      </c>
      <c r="M14" s="20">
        <f t="shared" si="2"/>
        <v>-1483.9814100000003</v>
      </c>
      <c r="N14" s="21">
        <f t="shared" si="3"/>
        <v>-988.28591000000006</v>
      </c>
      <c r="O14" s="114"/>
      <c r="P14" s="797"/>
      <c r="U14" s="496"/>
    </row>
    <row r="15" spans="1:21" ht="13.5" customHeight="1" x14ac:dyDescent="0.25">
      <c r="A15" s="27">
        <f t="shared" si="4"/>
        <v>7</v>
      </c>
      <c r="B15" s="226" t="s">
        <v>853</v>
      </c>
      <c r="C15" s="20">
        <v>18170.966359999999</v>
      </c>
      <c r="D15" s="21">
        <v>8137.1395300000004</v>
      </c>
      <c r="E15" s="20">
        <v>6638.8897100000004</v>
      </c>
      <c r="F15" s="227">
        <v>1436.5186200000001</v>
      </c>
      <c r="G15" s="228">
        <v>56.618429999999996</v>
      </c>
      <c r="H15" s="228">
        <v>1111.742</v>
      </c>
      <c r="I15" s="227">
        <f t="shared" si="0"/>
        <v>9243.7687600000008</v>
      </c>
      <c r="J15" s="227">
        <v>6157.1479799999997</v>
      </c>
      <c r="K15" s="227">
        <v>4873.7649600000004</v>
      </c>
      <c r="L15" s="229">
        <f t="shared" si="1"/>
        <v>11030.91294</v>
      </c>
      <c r="M15" s="20">
        <f t="shared" si="2"/>
        <v>-8927.1975999999977</v>
      </c>
      <c r="N15" s="21">
        <f t="shared" si="3"/>
        <v>2893.7734099999998</v>
      </c>
      <c r="O15" s="114"/>
      <c r="P15" s="114"/>
      <c r="U15" s="496"/>
    </row>
    <row r="16" spans="1:21" ht="13.5" customHeight="1" x14ac:dyDescent="0.25">
      <c r="A16" s="27">
        <f t="shared" si="4"/>
        <v>8</v>
      </c>
      <c r="B16" s="226" t="s">
        <v>856</v>
      </c>
      <c r="C16" s="22">
        <v>14871.505150000001</v>
      </c>
      <c r="D16" s="23">
        <v>3420.7100500000001</v>
      </c>
      <c r="E16" s="22">
        <v>6998.9992400000001</v>
      </c>
      <c r="F16" s="230">
        <v>1159.3115299999999</v>
      </c>
      <c r="G16" s="231">
        <v>52.351619999999997</v>
      </c>
      <c r="H16" s="231">
        <v>1481.7159999999999</v>
      </c>
      <c r="I16" s="227">
        <f t="shared" si="0"/>
        <v>9692.3783899999999</v>
      </c>
      <c r="J16" s="230">
        <v>1181.8927699999999</v>
      </c>
      <c r="K16" s="230">
        <v>2906.5612000000001</v>
      </c>
      <c r="L16" s="229">
        <f t="shared" si="1"/>
        <v>4088.45397</v>
      </c>
      <c r="M16" s="20">
        <f t="shared" si="2"/>
        <v>-5179.126760000001</v>
      </c>
      <c r="N16" s="21">
        <f t="shared" si="3"/>
        <v>667.74391999999989</v>
      </c>
      <c r="O16" s="114"/>
      <c r="P16" s="114"/>
      <c r="U16" s="496"/>
    </row>
    <row r="17" spans="1:21" ht="13.5" customHeight="1" thickBot="1" x14ac:dyDescent="0.3">
      <c r="A17" s="27">
        <f>A16+1</f>
        <v>9</v>
      </c>
      <c r="B17" s="226" t="s">
        <v>1182</v>
      </c>
      <c r="C17" s="22">
        <v>14237.78032</v>
      </c>
      <c r="D17" s="23">
        <v>5539.3415599999998</v>
      </c>
      <c r="E17" s="22">
        <v>1105.03665</v>
      </c>
      <c r="F17" s="230">
        <v>401.09602000000001</v>
      </c>
      <c r="G17" s="231">
        <v>40.04701</v>
      </c>
      <c r="H17" s="231">
        <v>289.21100000000001</v>
      </c>
      <c r="I17" s="227">
        <f t="shared" si="0"/>
        <v>1835.39068</v>
      </c>
      <c r="J17" s="230">
        <v>2055.2923999999998</v>
      </c>
      <c r="K17" s="230">
        <v>4245.9335199999996</v>
      </c>
      <c r="L17" s="229">
        <f>J17+K17</f>
        <v>6301.225919999999</v>
      </c>
      <c r="M17" s="20">
        <f>I17-C17</f>
        <v>-12402.389639999999</v>
      </c>
      <c r="N17" s="21">
        <f>L17-D17</f>
        <v>761.88435999999911</v>
      </c>
      <c r="O17" s="114"/>
      <c r="Q17" s="884"/>
      <c r="U17" s="496"/>
    </row>
    <row r="18" spans="1:21" ht="13.5" hidden="1" customHeight="1" x14ac:dyDescent="0.25">
      <c r="A18" s="27">
        <f t="shared" si="4"/>
        <v>10</v>
      </c>
      <c r="B18" s="226"/>
      <c r="C18" s="22"/>
      <c r="D18" s="23"/>
      <c r="E18" s="22"/>
      <c r="F18" s="230"/>
      <c r="G18" s="231"/>
      <c r="H18" s="231"/>
      <c r="I18" s="227">
        <f t="shared" si="0"/>
        <v>0</v>
      </c>
      <c r="J18" s="230"/>
      <c r="K18" s="230"/>
      <c r="L18" s="229">
        <f t="shared" ref="L18:L23" si="5">J18+K18</f>
        <v>0</v>
      </c>
      <c r="M18" s="20">
        <f t="shared" ref="M18:M23" si="6">I18-C18</f>
        <v>0</v>
      </c>
      <c r="N18" s="21">
        <f t="shared" ref="N18:N23" si="7">L18-D18</f>
        <v>0</v>
      </c>
      <c r="O18" s="114"/>
      <c r="U18" s="496"/>
    </row>
    <row r="19" spans="1:21" ht="13.5" hidden="1" customHeight="1" x14ac:dyDescent="0.25">
      <c r="A19" s="27">
        <f t="shared" si="4"/>
        <v>11</v>
      </c>
      <c r="B19" s="226"/>
      <c r="C19" s="22"/>
      <c r="D19" s="23"/>
      <c r="E19" s="22"/>
      <c r="F19" s="230"/>
      <c r="G19" s="231"/>
      <c r="H19" s="231"/>
      <c r="I19" s="227">
        <f t="shared" si="0"/>
        <v>0</v>
      </c>
      <c r="J19" s="230"/>
      <c r="K19" s="230"/>
      <c r="L19" s="229">
        <f t="shared" si="5"/>
        <v>0</v>
      </c>
      <c r="M19" s="20">
        <f t="shared" si="6"/>
        <v>0</v>
      </c>
      <c r="N19" s="21">
        <f t="shared" si="7"/>
        <v>0</v>
      </c>
      <c r="O19" s="114"/>
      <c r="U19" s="496"/>
    </row>
    <row r="20" spans="1:21" ht="13.5" hidden="1" customHeight="1" x14ac:dyDescent="0.25">
      <c r="A20" s="27">
        <f t="shared" si="4"/>
        <v>12</v>
      </c>
      <c r="B20" s="226"/>
      <c r="C20" s="22"/>
      <c r="D20" s="23"/>
      <c r="E20" s="22"/>
      <c r="F20" s="230"/>
      <c r="G20" s="231"/>
      <c r="H20" s="231"/>
      <c r="I20" s="227">
        <f t="shared" si="0"/>
        <v>0</v>
      </c>
      <c r="J20" s="230"/>
      <c r="K20" s="230"/>
      <c r="L20" s="229">
        <f t="shared" si="5"/>
        <v>0</v>
      </c>
      <c r="M20" s="20">
        <f t="shared" si="6"/>
        <v>0</v>
      </c>
      <c r="N20" s="21">
        <f t="shared" si="7"/>
        <v>0</v>
      </c>
      <c r="O20" s="114"/>
      <c r="U20" s="496"/>
    </row>
    <row r="21" spans="1:21" ht="13.5" hidden="1" customHeight="1" x14ac:dyDescent="0.25">
      <c r="A21" s="27">
        <f t="shared" si="4"/>
        <v>13</v>
      </c>
      <c r="B21" s="226"/>
      <c r="C21" s="22"/>
      <c r="D21" s="23"/>
      <c r="E21" s="22"/>
      <c r="F21" s="230"/>
      <c r="G21" s="231"/>
      <c r="H21" s="231"/>
      <c r="I21" s="227">
        <f t="shared" si="0"/>
        <v>0</v>
      </c>
      <c r="J21" s="230"/>
      <c r="K21" s="230"/>
      <c r="L21" s="229">
        <f t="shared" si="5"/>
        <v>0</v>
      </c>
      <c r="M21" s="20">
        <f t="shared" si="6"/>
        <v>0</v>
      </c>
      <c r="N21" s="21">
        <f t="shared" si="7"/>
        <v>0</v>
      </c>
      <c r="O21" s="114"/>
      <c r="U21" s="496"/>
    </row>
    <row r="22" spans="1:21" ht="13.5" hidden="1" customHeight="1" x14ac:dyDescent="0.25">
      <c r="A22" s="27">
        <f t="shared" si="4"/>
        <v>14</v>
      </c>
      <c r="B22" s="226"/>
      <c r="C22" s="22"/>
      <c r="D22" s="23"/>
      <c r="E22" s="22"/>
      <c r="F22" s="230"/>
      <c r="G22" s="231"/>
      <c r="H22" s="231"/>
      <c r="I22" s="227">
        <f t="shared" si="0"/>
        <v>0</v>
      </c>
      <c r="J22" s="230"/>
      <c r="K22" s="230"/>
      <c r="L22" s="229">
        <f t="shared" si="5"/>
        <v>0</v>
      </c>
      <c r="M22" s="20">
        <f t="shared" si="6"/>
        <v>0</v>
      </c>
      <c r="N22" s="21">
        <f t="shared" si="7"/>
        <v>0</v>
      </c>
      <c r="O22" s="114"/>
      <c r="U22" s="496"/>
    </row>
    <row r="23" spans="1:21" ht="13.5" hidden="1" customHeight="1" thickBot="1" x14ac:dyDescent="0.3">
      <c r="A23" s="27">
        <f t="shared" si="4"/>
        <v>15</v>
      </c>
      <c r="B23" s="226"/>
      <c r="C23" s="22"/>
      <c r="D23" s="23"/>
      <c r="E23" s="22"/>
      <c r="F23" s="230"/>
      <c r="G23" s="231"/>
      <c r="H23" s="231"/>
      <c r="I23" s="227">
        <f t="shared" si="0"/>
        <v>0</v>
      </c>
      <c r="J23" s="230"/>
      <c r="K23" s="230"/>
      <c r="L23" s="229">
        <f t="shared" si="5"/>
        <v>0</v>
      </c>
      <c r="M23" s="20">
        <f t="shared" si="6"/>
        <v>0</v>
      </c>
      <c r="N23" s="21">
        <f t="shared" si="7"/>
        <v>0</v>
      </c>
      <c r="O23" s="114"/>
      <c r="U23" s="496"/>
    </row>
    <row r="24" spans="1:21" ht="12.75" customHeight="1" thickBot="1" x14ac:dyDescent="0.3">
      <c r="A24" s="232">
        <f>A17+1</f>
        <v>10</v>
      </c>
      <c r="B24" s="233" t="s">
        <v>360</v>
      </c>
      <c r="C24" s="24">
        <f t="shared" ref="C24:N24" si="8">SUM(C9:C23)</f>
        <v>106949.87913</v>
      </c>
      <c r="D24" s="25">
        <f t="shared" si="8"/>
        <v>30568.737480000003</v>
      </c>
      <c r="E24" s="24">
        <f t="shared" si="8"/>
        <v>38052.066989999999</v>
      </c>
      <c r="F24" s="234">
        <f t="shared" si="8"/>
        <v>11635.698830000001</v>
      </c>
      <c r="G24" s="234">
        <f t="shared" si="8"/>
        <v>4061.0040899999995</v>
      </c>
      <c r="H24" s="234">
        <f t="shared" si="8"/>
        <v>7602.3765500000018</v>
      </c>
      <c r="I24" s="234">
        <f t="shared" si="8"/>
        <v>61351.146459999996</v>
      </c>
      <c r="J24" s="234">
        <f t="shared" si="8"/>
        <v>21690.056829999998</v>
      </c>
      <c r="K24" s="234">
        <f t="shared" si="8"/>
        <v>17777.50906</v>
      </c>
      <c r="L24" s="234">
        <f t="shared" si="8"/>
        <v>39467.565889999998</v>
      </c>
      <c r="M24" s="24">
        <f t="shared" si="8"/>
        <v>-45598.732669999998</v>
      </c>
      <c r="N24" s="26">
        <f t="shared" si="8"/>
        <v>8898.8284100000001</v>
      </c>
      <c r="O24" s="114"/>
      <c r="P24" s="114"/>
      <c r="Q24" s="114"/>
      <c r="R24" s="114"/>
      <c r="S24" s="796"/>
      <c r="T24" s="779"/>
    </row>
    <row r="25" spans="1:21" ht="3" customHeight="1" x14ac:dyDescent="0.25">
      <c r="A25" s="7"/>
      <c r="B25" s="7"/>
      <c r="C25" s="7"/>
      <c r="D25" s="113"/>
      <c r="E25" s="7"/>
      <c r="F25" s="7"/>
      <c r="G25" s="7"/>
      <c r="H25" s="7"/>
      <c r="I25" s="7"/>
      <c r="J25" s="7"/>
      <c r="K25" s="7"/>
      <c r="L25" s="7"/>
    </row>
    <row r="26" spans="1:21" ht="10.5" customHeight="1" x14ac:dyDescent="0.25">
      <c r="A26" s="7" t="s">
        <v>814</v>
      </c>
      <c r="B26" s="7"/>
      <c r="C26" s="7"/>
      <c r="D26" s="7"/>
      <c r="E26" s="7"/>
      <c r="F26" s="7"/>
      <c r="G26" s="7"/>
      <c r="H26" s="7"/>
      <c r="I26" s="7"/>
      <c r="J26" s="7"/>
      <c r="K26" s="7"/>
      <c r="L26" s="7"/>
    </row>
    <row r="27" spans="1:21" ht="13.5" customHeight="1" x14ac:dyDescent="0.25">
      <c r="A27" s="7" t="s">
        <v>857</v>
      </c>
      <c r="B27" s="7"/>
      <c r="C27" s="7"/>
      <c r="D27" s="7"/>
      <c r="E27" s="7"/>
      <c r="F27" s="7"/>
      <c r="G27" s="7"/>
      <c r="H27" s="7"/>
      <c r="I27" s="7"/>
      <c r="J27" s="7"/>
      <c r="K27" s="7"/>
      <c r="L27" s="7"/>
    </row>
    <row r="28" spans="1:21" ht="13.5" customHeight="1" x14ac:dyDescent="0.25">
      <c r="A28" s="7" t="s">
        <v>858</v>
      </c>
      <c r="B28" s="7"/>
      <c r="C28" s="7"/>
      <c r="D28" s="7"/>
      <c r="E28" s="7"/>
      <c r="F28" s="7"/>
      <c r="G28" s="7"/>
      <c r="H28" s="7"/>
      <c r="I28" s="7"/>
      <c r="J28" s="7"/>
      <c r="K28" s="7"/>
      <c r="L28" s="7"/>
    </row>
    <row r="29" spans="1:21" ht="7.5" customHeight="1" x14ac:dyDescent="0.25">
      <c r="A29" s="14"/>
      <c r="B29" s="10"/>
      <c r="C29" s="10"/>
      <c r="D29" s="10"/>
      <c r="E29" s="10"/>
      <c r="F29" s="10"/>
      <c r="G29" s="10"/>
      <c r="H29" s="10"/>
      <c r="I29" s="10"/>
      <c r="J29" s="10"/>
      <c r="K29" s="10"/>
      <c r="L29" s="10"/>
      <c r="N29" s="11"/>
    </row>
    <row r="30" spans="1:21" s="3" customFormat="1" ht="18" customHeight="1" x14ac:dyDescent="0.25">
      <c r="A30" s="239" t="s">
        <v>563</v>
      </c>
      <c r="B30" s="7"/>
      <c r="C30" s="7"/>
      <c r="D30" s="7"/>
      <c r="E30" s="7"/>
      <c r="F30" s="7"/>
      <c r="G30" s="7"/>
      <c r="H30" s="7"/>
      <c r="I30" s="7"/>
      <c r="J30" s="7"/>
      <c r="K30" s="7"/>
      <c r="L30" s="2"/>
      <c r="N30" s="340" t="s">
        <v>903</v>
      </c>
    </row>
    <row r="31" spans="1:21" s="3" customFormat="1" ht="4.5" customHeight="1" thickBot="1" x14ac:dyDescent="0.3">
      <c r="A31" s="7"/>
      <c r="B31" s="7"/>
      <c r="C31" s="7"/>
      <c r="D31" s="7"/>
      <c r="E31" s="7"/>
      <c r="F31" s="7"/>
      <c r="G31" s="7"/>
      <c r="H31" s="7"/>
      <c r="I31" s="7"/>
      <c r="J31" s="7"/>
      <c r="L31" s="2"/>
      <c r="M31" s="13"/>
    </row>
    <row r="32" spans="1:21" s="3" customFormat="1" ht="19.5" customHeight="1" x14ac:dyDescent="0.25">
      <c r="A32" s="1615" t="s">
        <v>341</v>
      </c>
      <c r="B32" s="1642" t="s">
        <v>875</v>
      </c>
      <c r="C32" s="1631" t="s">
        <v>897</v>
      </c>
      <c r="D32" s="1632"/>
      <c r="E32" s="1631" t="s">
        <v>422</v>
      </c>
      <c r="F32" s="1645"/>
      <c r="G32" s="1645"/>
      <c r="H32" s="1645"/>
      <c r="I32" s="1645"/>
      <c r="J32" s="1645"/>
      <c r="K32" s="1645"/>
      <c r="L32" s="1646"/>
      <c r="M32" s="1631" t="s">
        <v>475</v>
      </c>
      <c r="N32" s="1632"/>
    </row>
    <row r="33" spans="1:21" s="3" customFormat="1" ht="19.5" customHeight="1" x14ac:dyDescent="0.25">
      <c r="A33" s="1616"/>
      <c r="B33" s="1643"/>
      <c r="C33" s="1633" t="s">
        <v>423</v>
      </c>
      <c r="D33" s="1635" t="s">
        <v>424</v>
      </c>
      <c r="E33" s="1637" t="s">
        <v>423</v>
      </c>
      <c r="F33" s="1638"/>
      <c r="G33" s="1638"/>
      <c r="H33" s="1638"/>
      <c r="I33" s="1638"/>
      <c r="J33" s="1647" t="s">
        <v>424</v>
      </c>
      <c r="K33" s="1647"/>
      <c r="L33" s="1647"/>
      <c r="M33" s="1633" t="s">
        <v>423</v>
      </c>
      <c r="N33" s="1635" t="s">
        <v>424</v>
      </c>
    </row>
    <row r="34" spans="1:21" s="3" customFormat="1" ht="40.35" customHeight="1" x14ac:dyDescent="0.25">
      <c r="A34" s="1616"/>
      <c r="B34" s="1644"/>
      <c r="C34" s="1634"/>
      <c r="D34" s="1636"/>
      <c r="E34" s="33" t="s">
        <v>425</v>
      </c>
      <c r="F34" s="34" t="s">
        <v>859</v>
      </c>
      <c r="G34" s="35" t="s">
        <v>573</v>
      </c>
      <c r="H34" s="34" t="s">
        <v>428</v>
      </c>
      <c r="I34" s="34" t="s">
        <v>371</v>
      </c>
      <c r="J34" s="34" t="s">
        <v>427</v>
      </c>
      <c r="K34" s="34" t="s">
        <v>344</v>
      </c>
      <c r="L34" s="36" t="s">
        <v>371</v>
      </c>
      <c r="M34" s="1634"/>
      <c r="N34" s="1636"/>
    </row>
    <row r="35" spans="1:21" s="4" customFormat="1" ht="13.5" customHeight="1" thickBot="1" x14ac:dyDescent="0.3">
      <c r="A35" s="1617"/>
      <c r="B35" s="28" t="s">
        <v>405</v>
      </c>
      <c r="C35" s="29" t="s">
        <v>406</v>
      </c>
      <c r="D35" s="28" t="s">
        <v>407</v>
      </c>
      <c r="E35" s="29" t="s">
        <v>408</v>
      </c>
      <c r="F35" s="30" t="s">
        <v>409</v>
      </c>
      <c r="G35" s="31" t="s">
        <v>410</v>
      </c>
      <c r="H35" s="31" t="s">
        <v>411</v>
      </c>
      <c r="I35" s="30" t="s">
        <v>412</v>
      </c>
      <c r="J35" s="30" t="s">
        <v>413</v>
      </c>
      <c r="K35" s="30" t="s">
        <v>414</v>
      </c>
      <c r="L35" s="32" t="s">
        <v>442</v>
      </c>
      <c r="M35" s="29" t="s">
        <v>476</v>
      </c>
      <c r="N35" s="28" t="s">
        <v>477</v>
      </c>
    </row>
    <row r="36" spans="1:21" s="4" customFormat="1" ht="13.5" customHeight="1" x14ac:dyDescent="0.25">
      <c r="A36" s="27">
        <v>1</v>
      </c>
      <c r="B36" s="235" t="s">
        <v>860</v>
      </c>
      <c r="C36" s="20">
        <v>975.61437999999998</v>
      </c>
      <c r="D36" s="21">
        <v>1310.5085999999999</v>
      </c>
      <c r="E36" s="20">
        <v>7894.6873699999996</v>
      </c>
      <c r="F36" s="227">
        <v>0</v>
      </c>
      <c r="G36" s="228">
        <v>0</v>
      </c>
      <c r="H36" s="228">
        <v>0</v>
      </c>
      <c r="I36" s="227">
        <f t="shared" ref="I36:I40" si="9">+E36+F36+G36+H36</f>
        <v>7894.6873699999996</v>
      </c>
      <c r="J36" s="227">
        <v>2130.3795399999999</v>
      </c>
      <c r="K36" s="227">
        <v>0</v>
      </c>
      <c r="L36" s="229">
        <f t="shared" ref="L36:L40" si="10">J36+K36</f>
        <v>2130.3795399999999</v>
      </c>
      <c r="M36" s="20">
        <f t="shared" ref="M36:M40" si="11">I36-C36</f>
        <v>6919.0729899999997</v>
      </c>
      <c r="N36" s="21">
        <f t="shared" ref="N36:N40" si="12">L36-D36</f>
        <v>819.87094000000002</v>
      </c>
      <c r="O36" s="917"/>
      <c r="P36" s="729"/>
    </row>
    <row r="37" spans="1:21" s="4" customFormat="1" ht="13.5" customHeight="1" x14ac:dyDescent="0.25">
      <c r="A37" s="27">
        <f t="shared" ref="A37:A53" si="13">A36+1</f>
        <v>2</v>
      </c>
      <c r="B37" s="235" t="s">
        <v>1078</v>
      </c>
      <c r="C37" s="20">
        <v>1951.76324</v>
      </c>
      <c r="D37" s="21">
        <v>15623.81912</v>
      </c>
      <c r="E37" s="20">
        <v>0</v>
      </c>
      <c r="F37" s="227">
        <v>0</v>
      </c>
      <c r="G37" s="228">
        <v>304.07988</v>
      </c>
      <c r="H37" s="228">
        <v>0</v>
      </c>
      <c r="I37" s="227">
        <f t="shared" si="9"/>
        <v>304.07988</v>
      </c>
      <c r="J37" s="227">
        <v>21146.1263</v>
      </c>
      <c r="K37" s="227">
        <v>0</v>
      </c>
      <c r="L37" s="229">
        <f t="shared" si="10"/>
        <v>21146.1263</v>
      </c>
      <c r="M37" s="20">
        <f t="shared" si="11"/>
        <v>-1647.68336</v>
      </c>
      <c r="N37" s="21">
        <f t="shared" si="12"/>
        <v>5522.3071799999998</v>
      </c>
      <c r="O37" s="917"/>
      <c r="P37" s="729"/>
    </row>
    <row r="38" spans="1:21" s="4" customFormat="1" ht="13.5" customHeight="1" x14ac:dyDescent="0.25">
      <c r="A38" s="27">
        <f>A37+1</f>
        <v>3</v>
      </c>
      <c r="B38" s="235" t="s">
        <v>861</v>
      </c>
      <c r="C38" s="20">
        <v>852.79200000000003</v>
      </c>
      <c r="D38" s="21">
        <v>9664.77628</v>
      </c>
      <c r="E38" s="20">
        <v>0</v>
      </c>
      <c r="F38" s="227">
        <v>0</v>
      </c>
      <c r="G38" s="228">
        <v>76.133880000000005</v>
      </c>
      <c r="H38" s="228">
        <v>0</v>
      </c>
      <c r="I38" s="227">
        <f t="shared" si="9"/>
        <v>76.133880000000005</v>
      </c>
      <c r="J38" s="227">
        <v>10678.13668</v>
      </c>
      <c r="K38" s="227">
        <v>0</v>
      </c>
      <c r="L38" s="229">
        <f t="shared" si="10"/>
        <v>10678.13668</v>
      </c>
      <c r="M38" s="20">
        <f t="shared" si="11"/>
        <v>-776.65812000000005</v>
      </c>
      <c r="N38" s="21">
        <f t="shared" si="12"/>
        <v>1013.3603999999996</v>
      </c>
      <c r="O38" s="917"/>
      <c r="P38" s="729"/>
    </row>
    <row r="39" spans="1:21" s="4" customFormat="1" ht="13.5" customHeight="1" x14ac:dyDescent="0.25">
      <c r="A39" s="27">
        <f t="shared" si="13"/>
        <v>4</v>
      </c>
      <c r="B39" s="235" t="s">
        <v>862</v>
      </c>
      <c r="C39" s="20">
        <v>15194.002920000001</v>
      </c>
      <c r="D39" s="21">
        <v>18.472000000000001</v>
      </c>
      <c r="E39" s="20">
        <v>14053.18031</v>
      </c>
      <c r="F39" s="227">
        <v>0</v>
      </c>
      <c r="G39" s="228">
        <v>149.84324000000001</v>
      </c>
      <c r="H39" s="228">
        <v>0</v>
      </c>
      <c r="I39" s="227">
        <f t="shared" si="9"/>
        <v>14203.02355</v>
      </c>
      <c r="J39" s="227">
        <v>139.16301000000001</v>
      </c>
      <c r="K39" s="227">
        <v>223.79948999999999</v>
      </c>
      <c r="L39" s="229">
        <f t="shared" si="10"/>
        <v>362.96249999999998</v>
      </c>
      <c r="M39" s="20">
        <f>I39-C39</f>
        <v>-990.97937000000093</v>
      </c>
      <c r="N39" s="21">
        <f>L39-D39</f>
        <v>344.4905</v>
      </c>
      <c r="O39" s="917"/>
      <c r="P39" s="729"/>
      <c r="U39" s="1268"/>
    </row>
    <row r="40" spans="1:21" s="3" customFormat="1" ht="13.5" customHeight="1" x14ac:dyDescent="0.25">
      <c r="A40" s="27">
        <f t="shared" si="13"/>
        <v>5</v>
      </c>
      <c r="B40" s="235" t="s">
        <v>863</v>
      </c>
      <c r="C40" s="20">
        <v>10363.692730000001</v>
      </c>
      <c r="D40" s="21">
        <v>32.594999999999999</v>
      </c>
      <c r="E40" s="20">
        <v>24958.003580000001</v>
      </c>
      <c r="F40" s="227">
        <v>0</v>
      </c>
      <c r="G40" s="228">
        <v>581.42902000000004</v>
      </c>
      <c r="H40" s="228">
        <v>0</v>
      </c>
      <c r="I40" s="227">
        <f t="shared" si="9"/>
        <v>25539.4326</v>
      </c>
      <c r="J40" s="227">
        <v>202.24475000000001</v>
      </c>
      <c r="K40" s="227">
        <v>226.73766000000001</v>
      </c>
      <c r="L40" s="229">
        <f t="shared" si="10"/>
        <v>428.98241000000002</v>
      </c>
      <c r="M40" s="20">
        <f t="shared" si="11"/>
        <v>15175.739869999999</v>
      </c>
      <c r="N40" s="21">
        <f t="shared" si="12"/>
        <v>396.38741000000005</v>
      </c>
      <c r="O40" s="917"/>
      <c r="P40" s="729"/>
      <c r="U40" s="1268"/>
    </row>
    <row r="41" spans="1:21" s="3" customFormat="1" ht="13.5" customHeight="1" x14ac:dyDescent="0.25">
      <c r="A41" s="27">
        <f t="shared" si="13"/>
        <v>6</v>
      </c>
      <c r="B41" s="235" t="s">
        <v>864</v>
      </c>
      <c r="C41" s="20">
        <v>27390.663990000001</v>
      </c>
      <c r="D41" s="21">
        <v>59.00609</v>
      </c>
      <c r="E41" s="20">
        <v>10179.34713</v>
      </c>
      <c r="F41" s="227">
        <v>0</v>
      </c>
      <c r="G41" s="228">
        <v>1089.3980799999999</v>
      </c>
      <c r="H41" s="228">
        <v>0</v>
      </c>
      <c r="I41" s="227">
        <f t="shared" ref="I41:I55" si="14">+E41+F41+G41+H41</f>
        <v>11268.745210000001</v>
      </c>
      <c r="J41" s="227">
        <v>496.80700000000002</v>
      </c>
      <c r="K41" s="227">
        <v>526.22095000000002</v>
      </c>
      <c r="L41" s="229">
        <f t="shared" ref="L41:L55" si="15">J41+K41</f>
        <v>1023.02795</v>
      </c>
      <c r="M41" s="20">
        <f t="shared" ref="M41:M55" si="16">I41-C41</f>
        <v>-16121.91878</v>
      </c>
      <c r="N41" s="21">
        <f t="shared" ref="N41:N55" si="17">L41-D41</f>
        <v>964.02186000000006</v>
      </c>
      <c r="O41" s="917"/>
      <c r="P41" s="1298"/>
      <c r="U41" s="1268"/>
    </row>
    <row r="42" spans="1:21" s="3" customFormat="1" ht="13.5" customHeight="1" x14ac:dyDescent="0.25">
      <c r="A42" s="27">
        <f t="shared" si="13"/>
        <v>7</v>
      </c>
      <c r="B42" s="235" t="s">
        <v>865</v>
      </c>
      <c r="C42" s="20">
        <v>46732.947769999999</v>
      </c>
      <c r="D42" s="21">
        <v>3180.7959000000001</v>
      </c>
      <c r="E42" s="20">
        <v>40345.790910000003</v>
      </c>
      <c r="F42" s="227">
        <v>178.68348</v>
      </c>
      <c r="G42" s="228">
        <v>2443.2523999999999</v>
      </c>
      <c r="H42" s="228">
        <v>4583.0247799999997</v>
      </c>
      <c r="I42" s="227">
        <f t="shared" si="14"/>
        <v>47550.75157</v>
      </c>
      <c r="J42" s="227">
        <v>2570.69769</v>
      </c>
      <c r="K42" s="227">
        <v>1504.71469</v>
      </c>
      <c r="L42" s="229">
        <f t="shared" si="15"/>
        <v>4075.4123799999998</v>
      </c>
      <c r="M42" s="20">
        <f t="shared" si="16"/>
        <v>817.8038000000015</v>
      </c>
      <c r="N42" s="21">
        <f t="shared" si="17"/>
        <v>894.61647999999968</v>
      </c>
      <c r="O42" s="917"/>
      <c r="P42" s="729"/>
      <c r="U42" s="1268"/>
    </row>
    <row r="43" spans="1:21" s="3" customFormat="1" ht="13.5" customHeight="1" x14ac:dyDescent="0.25">
      <c r="A43" s="27">
        <f t="shared" si="13"/>
        <v>8</v>
      </c>
      <c r="B43" s="235" t="s">
        <v>866</v>
      </c>
      <c r="C43" s="20">
        <v>42203.187839999999</v>
      </c>
      <c r="D43" s="21">
        <v>4141.9541200000003</v>
      </c>
      <c r="E43" s="20">
        <v>56110.723760000001</v>
      </c>
      <c r="F43" s="227">
        <v>1.48756</v>
      </c>
      <c r="G43" s="228">
        <v>2018.0752</v>
      </c>
      <c r="H43" s="228">
        <v>0</v>
      </c>
      <c r="I43" s="227">
        <f t="shared" si="14"/>
        <v>58130.286520000001</v>
      </c>
      <c r="J43" s="227">
        <v>4311.3953199999996</v>
      </c>
      <c r="K43" s="227">
        <v>210.34723</v>
      </c>
      <c r="L43" s="229">
        <f t="shared" si="15"/>
        <v>4521.7425499999999</v>
      </c>
      <c r="M43" s="20">
        <f t="shared" si="16"/>
        <v>15927.098680000003</v>
      </c>
      <c r="N43" s="21">
        <f t="shared" si="17"/>
        <v>379.78842999999961</v>
      </c>
      <c r="O43" s="917"/>
      <c r="P43" s="729"/>
      <c r="U43" s="1268"/>
    </row>
    <row r="44" spans="1:21" s="3" customFormat="1" ht="13.5" customHeight="1" x14ac:dyDescent="0.25">
      <c r="A44" s="27">
        <f t="shared" si="13"/>
        <v>9</v>
      </c>
      <c r="B44" s="235" t="s">
        <v>867</v>
      </c>
      <c r="C44" s="20">
        <v>43336.306530000002</v>
      </c>
      <c r="D44" s="21">
        <v>137.87200000000001</v>
      </c>
      <c r="E44" s="20">
        <v>57733.572440000004</v>
      </c>
      <c r="F44" s="227">
        <v>359.00184000000002</v>
      </c>
      <c r="G44" s="228">
        <v>1677.4757099999999</v>
      </c>
      <c r="H44" s="228">
        <v>6800</v>
      </c>
      <c r="I44" s="227">
        <f t="shared" si="14"/>
        <v>66570.04999</v>
      </c>
      <c r="J44" s="227">
        <v>303.06256000000002</v>
      </c>
      <c r="K44" s="227">
        <v>696.28035999999997</v>
      </c>
      <c r="L44" s="229">
        <f t="shared" si="15"/>
        <v>999.34292000000005</v>
      </c>
      <c r="M44" s="20">
        <f t="shared" si="16"/>
        <v>23233.743459999998</v>
      </c>
      <c r="N44" s="21">
        <f t="shared" si="17"/>
        <v>861.47091999999998</v>
      </c>
      <c r="O44" s="917"/>
      <c r="P44" s="729"/>
      <c r="U44" s="1268"/>
    </row>
    <row r="45" spans="1:21" s="3" customFormat="1" ht="13.5" customHeight="1" x14ac:dyDescent="0.25">
      <c r="A45" s="27">
        <f t="shared" si="13"/>
        <v>10</v>
      </c>
      <c r="B45" s="235" t="s">
        <v>868</v>
      </c>
      <c r="C45" s="20">
        <v>12993.5303</v>
      </c>
      <c r="D45" s="21">
        <v>177.73699999999999</v>
      </c>
      <c r="E45" s="20">
        <v>12400.489030000001</v>
      </c>
      <c r="F45" s="227">
        <v>105.56805</v>
      </c>
      <c r="G45" s="228">
        <v>170.02896999999999</v>
      </c>
      <c r="H45" s="228">
        <v>0</v>
      </c>
      <c r="I45" s="227">
        <f t="shared" si="14"/>
        <v>12676.08605</v>
      </c>
      <c r="J45" s="227">
        <v>1201.7482299999999</v>
      </c>
      <c r="K45" s="227">
        <v>382.5711</v>
      </c>
      <c r="L45" s="229">
        <f t="shared" si="15"/>
        <v>1584.3193299999998</v>
      </c>
      <c r="M45" s="20">
        <f t="shared" si="16"/>
        <v>-317.44425000000047</v>
      </c>
      <c r="N45" s="21">
        <f t="shared" si="17"/>
        <v>1406.5823299999997</v>
      </c>
      <c r="O45" s="917"/>
      <c r="P45" s="729"/>
      <c r="U45" s="1268"/>
    </row>
    <row r="46" spans="1:21" s="3" customFormat="1" ht="13.5" customHeight="1" x14ac:dyDescent="0.25">
      <c r="A46" s="27">
        <f t="shared" si="13"/>
        <v>11</v>
      </c>
      <c r="B46" s="235" t="s">
        <v>869</v>
      </c>
      <c r="C46" s="20">
        <v>1837.3066799999999</v>
      </c>
      <c r="D46" s="21">
        <v>4738.2926399999997</v>
      </c>
      <c r="E46" s="20">
        <v>402.00351000000001</v>
      </c>
      <c r="F46" s="227">
        <v>0</v>
      </c>
      <c r="G46" s="228">
        <v>181.07751999999999</v>
      </c>
      <c r="H46" s="228">
        <v>0</v>
      </c>
      <c r="I46" s="227">
        <f t="shared" si="14"/>
        <v>583.08103000000006</v>
      </c>
      <c r="J46" s="227">
        <v>6601.4386500000001</v>
      </c>
      <c r="K46" s="227">
        <v>1145.2808</v>
      </c>
      <c r="L46" s="229">
        <f t="shared" si="15"/>
        <v>7746.7194500000005</v>
      </c>
      <c r="M46" s="20">
        <f t="shared" si="16"/>
        <v>-1254.2256499999999</v>
      </c>
      <c r="N46" s="21">
        <f t="shared" si="17"/>
        <v>3008.4268100000008</v>
      </c>
      <c r="O46" s="917"/>
      <c r="P46" s="729"/>
      <c r="U46" s="1268"/>
    </row>
    <row r="47" spans="1:21" s="3" customFormat="1" ht="13.5" customHeight="1" x14ac:dyDescent="0.25">
      <c r="A47" s="27">
        <f t="shared" si="13"/>
        <v>12</v>
      </c>
      <c r="B47" s="235" t="s">
        <v>870</v>
      </c>
      <c r="C47" s="20">
        <v>53285.828130000002</v>
      </c>
      <c r="D47" s="21">
        <v>4448.9528799999998</v>
      </c>
      <c r="E47" s="20">
        <v>62716.57703</v>
      </c>
      <c r="F47" s="227">
        <v>0</v>
      </c>
      <c r="G47" s="228">
        <v>4022.57116</v>
      </c>
      <c r="H47" s="228">
        <v>0</v>
      </c>
      <c r="I47" s="227">
        <f t="shared" si="14"/>
        <v>66739.148190000007</v>
      </c>
      <c r="J47" s="227">
        <v>1079.1180400000001</v>
      </c>
      <c r="K47" s="227">
        <v>3582.1276699999999</v>
      </c>
      <c r="L47" s="229">
        <f t="shared" si="15"/>
        <v>4661.2457100000001</v>
      </c>
      <c r="M47" s="20">
        <f t="shared" si="16"/>
        <v>13453.320060000005</v>
      </c>
      <c r="N47" s="21">
        <f t="shared" si="17"/>
        <v>212.29283000000032</v>
      </c>
      <c r="O47" s="917"/>
      <c r="P47" s="729"/>
      <c r="U47" s="1268"/>
    </row>
    <row r="48" spans="1:21" s="3" customFormat="1" ht="13.5" customHeight="1" x14ac:dyDescent="0.25">
      <c r="A48" s="27">
        <f t="shared" si="13"/>
        <v>13</v>
      </c>
      <c r="B48" s="235" t="s">
        <v>1104</v>
      </c>
      <c r="C48" s="22">
        <v>43425.769110000001</v>
      </c>
      <c r="D48" s="23">
        <v>4789.6903499999999</v>
      </c>
      <c r="E48" s="22">
        <v>57665.981140000004</v>
      </c>
      <c r="F48" s="230">
        <v>17.79374</v>
      </c>
      <c r="G48" s="231">
        <v>1223.7849799999999</v>
      </c>
      <c r="H48" s="231">
        <v>0</v>
      </c>
      <c r="I48" s="227">
        <f>+E48+F48+G48+H48</f>
        <v>58907.559860000001</v>
      </c>
      <c r="J48" s="230">
        <v>3037.4490300000002</v>
      </c>
      <c r="K48" s="230">
        <v>3777.1407100000001</v>
      </c>
      <c r="L48" s="229">
        <f>J48+K48</f>
        <v>6814.5897400000003</v>
      </c>
      <c r="M48" s="20">
        <f>I48-C48</f>
        <v>15481.79075</v>
      </c>
      <c r="N48" s="21">
        <f>L48-D48</f>
        <v>2024.8993900000005</v>
      </c>
      <c r="O48" s="917"/>
      <c r="P48" s="729"/>
      <c r="U48" s="1268"/>
    </row>
    <row r="49" spans="1:21" s="3" customFormat="1" ht="13.5" customHeight="1" x14ac:dyDescent="0.25">
      <c r="A49" s="27">
        <f t="shared" si="13"/>
        <v>14</v>
      </c>
      <c r="B49" s="235" t="s">
        <v>871</v>
      </c>
      <c r="C49" s="20">
        <v>39285.967729999997</v>
      </c>
      <c r="D49" s="21">
        <v>16477.42252</v>
      </c>
      <c r="E49" s="20">
        <v>23423.869620000001</v>
      </c>
      <c r="F49" s="227">
        <v>6.6345000000000001</v>
      </c>
      <c r="G49" s="228">
        <v>1395.8749</v>
      </c>
      <c r="H49" s="228">
        <v>0</v>
      </c>
      <c r="I49" s="227">
        <f t="shared" si="14"/>
        <v>24826.37902</v>
      </c>
      <c r="J49" s="227">
        <v>8027.98398</v>
      </c>
      <c r="K49" s="227">
        <v>11388.86248</v>
      </c>
      <c r="L49" s="229">
        <f t="shared" si="15"/>
        <v>19416.846460000001</v>
      </c>
      <c r="M49" s="20">
        <f t="shared" si="16"/>
        <v>-14459.588709999996</v>
      </c>
      <c r="N49" s="21">
        <f t="shared" si="17"/>
        <v>2939.4239400000006</v>
      </c>
      <c r="O49" s="917"/>
      <c r="P49" s="1298"/>
      <c r="U49" s="1268"/>
    </row>
    <row r="50" spans="1:21" s="3" customFormat="1" ht="13.5" customHeight="1" x14ac:dyDescent="0.25">
      <c r="A50" s="27">
        <f t="shared" si="13"/>
        <v>15</v>
      </c>
      <c r="B50" s="235" t="s">
        <v>1081</v>
      </c>
      <c r="C50" s="20">
        <v>10512.04941</v>
      </c>
      <c r="D50" s="21">
        <v>1088.5837200000001</v>
      </c>
      <c r="E50" s="20">
        <v>11068.859909999999</v>
      </c>
      <c r="F50" s="227">
        <v>117.72915999999999</v>
      </c>
      <c r="G50" s="228">
        <v>359.28696000000002</v>
      </c>
      <c r="H50" s="228">
        <v>0</v>
      </c>
      <c r="I50" s="227">
        <f t="shared" si="14"/>
        <v>11545.876029999999</v>
      </c>
      <c r="J50" s="227">
        <v>1121.5154</v>
      </c>
      <c r="K50" s="227">
        <v>430.33208000000002</v>
      </c>
      <c r="L50" s="229">
        <f t="shared" si="15"/>
        <v>1551.8474799999999</v>
      </c>
      <c r="M50" s="20">
        <f t="shared" si="16"/>
        <v>1033.8266199999998</v>
      </c>
      <c r="N50" s="21">
        <f t="shared" si="17"/>
        <v>463.26375999999982</v>
      </c>
      <c r="O50" s="917"/>
      <c r="P50" s="798"/>
      <c r="U50" s="1268"/>
    </row>
    <row r="51" spans="1:21" s="3" customFormat="1" ht="13.5" customHeight="1" x14ac:dyDescent="0.25">
      <c r="A51" s="27">
        <f t="shared" si="13"/>
        <v>16</v>
      </c>
      <c r="B51" s="235" t="s">
        <v>1082</v>
      </c>
      <c r="C51" s="20">
        <v>5892.64084</v>
      </c>
      <c r="D51" s="21">
        <v>21.82884</v>
      </c>
      <c r="E51" s="20">
        <v>5625.4198299999998</v>
      </c>
      <c r="F51" s="227">
        <v>481.2303</v>
      </c>
      <c r="G51" s="228">
        <v>523.19539999999995</v>
      </c>
      <c r="H51" s="228">
        <v>0</v>
      </c>
      <c r="I51" s="227">
        <f t="shared" si="14"/>
        <v>6629.8455299999996</v>
      </c>
      <c r="J51" s="227">
        <v>212.86868999999999</v>
      </c>
      <c r="K51" s="227">
        <v>-9.9040700000000008</v>
      </c>
      <c r="L51" s="229">
        <f t="shared" si="15"/>
        <v>202.96462</v>
      </c>
      <c r="M51" s="20">
        <f t="shared" si="16"/>
        <v>737.20468999999957</v>
      </c>
      <c r="N51" s="21">
        <f t="shared" si="17"/>
        <v>181.13578000000001</v>
      </c>
      <c r="O51" s="917"/>
      <c r="P51" s="729"/>
      <c r="U51" s="1268"/>
    </row>
    <row r="52" spans="1:21" s="3" customFormat="1" ht="13.5" customHeight="1" x14ac:dyDescent="0.25">
      <c r="A52" s="27">
        <f t="shared" si="13"/>
        <v>17</v>
      </c>
      <c r="B52" s="235" t="s">
        <v>1083</v>
      </c>
      <c r="C52" s="20">
        <v>6210.7270099999996</v>
      </c>
      <c r="D52" s="21">
        <v>30.032520000000002</v>
      </c>
      <c r="E52" s="20">
        <v>4220.5808399999996</v>
      </c>
      <c r="F52" s="227">
        <v>0</v>
      </c>
      <c r="G52" s="228">
        <v>68.367230000000006</v>
      </c>
      <c r="H52" s="228">
        <v>0</v>
      </c>
      <c r="I52" s="227">
        <f t="shared" si="14"/>
        <v>4288.9480699999995</v>
      </c>
      <c r="J52" s="227">
        <v>102.3356</v>
      </c>
      <c r="K52" s="227">
        <v>1.1475599999999999</v>
      </c>
      <c r="L52" s="229">
        <f t="shared" si="15"/>
        <v>103.48316</v>
      </c>
      <c r="M52" s="20">
        <f>I52-C52</f>
        <v>-1921.7789400000001</v>
      </c>
      <c r="N52" s="21">
        <f t="shared" si="17"/>
        <v>73.450639999999993</v>
      </c>
      <c r="O52" s="917"/>
      <c r="P52" s="729"/>
      <c r="U52" s="1268"/>
    </row>
    <row r="53" spans="1:21" s="3" customFormat="1" ht="13.5" customHeight="1" x14ac:dyDescent="0.25">
      <c r="A53" s="27">
        <f t="shared" si="13"/>
        <v>18</v>
      </c>
      <c r="B53" s="235" t="s">
        <v>1333</v>
      </c>
      <c r="C53" s="22">
        <v>36164.976730000002</v>
      </c>
      <c r="D53" s="23">
        <v>893.39200000000005</v>
      </c>
      <c r="E53" s="22">
        <v>35246.716639999999</v>
      </c>
      <c r="F53" s="230">
        <v>210.02196000000001</v>
      </c>
      <c r="G53" s="231">
        <v>1669.75119</v>
      </c>
      <c r="H53" s="231">
        <v>4271.8585599999997</v>
      </c>
      <c r="I53" s="227">
        <f t="shared" si="14"/>
        <v>41398.34835</v>
      </c>
      <c r="J53" s="230">
        <v>1149.49695</v>
      </c>
      <c r="K53" s="230">
        <v>1026.0059799999999</v>
      </c>
      <c r="L53" s="229">
        <f t="shared" si="15"/>
        <v>2175.5029299999997</v>
      </c>
      <c r="M53" s="20">
        <f t="shared" si="16"/>
        <v>5233.3716199999981</v>
      </c>
      <c r="N53" s="21">
        <f t="shared" si="17"/>
        <v>1282.1109299999996</v>
      </c>
      <c r="O53" s="917"/>
      <c r="P53" s="729"/>
      <c r="U53" s="1268"/>
    </row>
    <row r="54" spans="1:21" s="3" customFormat="1" ht="13.5" customHeight="1" x14ac:dyDescent="0.25">
      <c r="A54" s="27">
        <f>A53+1</f>
        <v>19</v>
      </c>
      <c r="B54" s="235" t="s">
        <v>872</v>
      </c>
      <c r="C54" s="22">
        <v>9576.8796299999995</v>
      </c>
      <c r="D54" s="23">
        <v>0</v>
      </c>
      <c r="E54" s="22">
        <v>4452.8322099999996</v>
      </c>
      <c r="F54" s="230">
        <v>56.349980000000002</v>
      </c>
      <c r="G54" s="231">
        <v>224.29508000000001</v>
      </c>
      <c r="H54" s="231">
        <v>0</v>
      </c>
      <c r="I54" s="227">
        <f t="shared" ref="I54" si="18">+E54+F54+G54+H54</f>
        <v>4733.4772699999994</v>
      </c>
      <c r="J54" s="230">
        <v>221.65518</v>
      </c>
      <c r="K54" s="230">
        <v>-1.82507</v>
      </c>
      <c r="L54" s="229">
        <f t="shared" ref="L54" si="19">J54+K54</f>
        <v>219.83010999999999</v>
      </c>
      <c r="M54" s="20">
        <f t="shared" ref="M54" si="20">I54-C54</f>
        <v>-4843.40236</v>
      </c>
      <c r="N54" s="21">
        <f t="shared" ref="N54" si="21">L54-D54</f>
        <v>219.83010999999999</v>
      </c>
      <c r="O54" s="917"/>
      <c r="P54" s="1298"/>
      <c r="U54" s="1268"/>
    </row>
    <row r="55" spans="1:21" s="3" customFormat="1" ht="13.5" customHeight="1" thickBot="1" x14ac:dyDescent="0.3">
      <c r="A55" s="27">
        <f>A54+1</f>
        <v>20</v>
      </c>
      <c r="B55" s="235" t="s">
        <v>1332</v>
      </c>
      <c r="C55" s="22">
        <v>20914.83554</v>
      </c>
      <c r="D55" s="23">
        <v>63136.281669999997</v>
      </c>
      <c r="E55" s="22">
        <v>1783.73242</v>
      </c>
      <c r="F55" s="230">
        <v>0</v>
      </c>
      <c r="G55" s="231">
        <v>15664.04594</v>
      </c>
      <c r="H55" s="231">
        <v>0</v>
      </c>
      <c r="I55" s="227">
        <f t="shared" si="14"/>
        <v>17447.77836</v>
      </c>
      <c r="J55" s="230">
        <v>65441.229520000001</v>
      </c>
      <c r="K55" s="230">
        <v>7071.9494400000003</v>
      </c>
      <c r="L55" s="229">
        <f t="shared" si="15"/>
        <v>72513.178960000005</v>
      </c>
      <c r="M55" s="20">
        <f t="shared" si="16"/>
        <v>-3467.0571799999998</v>
      </c>
      <c r="N55" s="21">
        <f t="shared" si="17"/>
        <v>9376.8972900000081</v>
      </c>
      <c r="O55" s="917"/>
      <c r="P55" s="8"/>
      <c r="Q55" s="884"/>
      <c r="R55" s="8"/>
      <c r="S55" s="8"/>
      <c r="U55" s="1268"/>
    </row>
    <row r="56" spans="1:21" s="3" customFormat="1" ht="12.75" customHeight="1" thickBot="1" x14ac:dyDescent="0.3">
      <c r="A56" s="232">
        <f>A55+1</f>
        <v>21</v>
      </c>
      <c r="B56" s="233" t="s">
        <v>360</v>
      </c>
      <c r="C56" s="1049">
        <f>SUM(C36:C55)</f>
        <v>429101.48250999994</v>
      </c>
      <c r="D56" s="1052">
        <f t="shared" ref="D56:N56" si="22">SUM(D36:D55)</f>
        <v>129972.01325</v>
      </c>
      <c r="E56" s="1051">
        <f t="shared" si="22"/>
        <v>430282.36768000008</v>
      </c>
      <c r="F56" s="1050">
        <f t="shared" si="22"/>
        <v>1534.5005699999999</v>
      </c>
      <c r="G56" s="1050">
        <f t="shared" si="22"/>
        <v>33841.966740000003</v>
      </c>
      <c r="H56" s="1050">
        <f t="shared" si="22"/>
        <v>15654.88334</v>
      </c>
      <c r="I56" s="234">
        <f t="shared" si="22"/>
        <v>481313.71832999989</v>
      </c>
      <c r="J56" s="25">
        <f t="shared" si="22"/>
        <v>130174.85212</v>
      </c>
      <c r="K56" s="25">
        <f t="shared" si="22"/>
        <v>32181.789059999999</v>
      </c>
      <c r="L56" s="25">
        <f t="shared" si="22"/>
        <v>162356.64118000001</v>
      </c>
      <c r="M56" s="24">
        <f t="shared" si="22"/>
        <v>52212.235820000002</v>
      </c>
      <c r="N56" s="1052">
        <f t="shared" si="22"/>
        <v>32384.62793000001</v>
      </c>
      <c r="O56" s="917"/>
      <c r="P56" s="114"/>
      <c r="Q56" s="114"/>
      <c r="R56" s="114"/>
      <c r="S56" s="796"/>
    </row>
    <row r="57" spans="1:21" s="3" customFormat="1" ht="3" customHeight="1" x14ac:dyDescent="0.25">
      <c r="A57" s="7"/>
      <c r="B57" s="7"/>
      <c r="C57" s="236"/>
      <c r="D57" s="236"/>
      <c r="E57" s="236"/>
      <c r="F57" s="236"/>
      <c r="G57" s="236"/>
      <c r="H57" s="236"/>
      <c r="I57" s="236"/>
      <c r="J57" s="236"/>
      <c r="K57" s="236"/>
      <c r="L57" s="236"/>
      <c r="M57" s="236"/>
      <c r="N57" s="236"/>
      <c r="P57" s="8"/>
      <c r="Q57" s="8"/>
      <c r="R57" s="8"/>
      <c r="S57" s="8"/>
    </row>
    <row r="58" spans="1:21" s="3" customFormat="1" ht="11.25" customHeight="1" x14ac:dyDescent="0.25">
      <c r="A58" s="7" t="s">
        <v>814</v>
      </c>
      <c r="B58" s="7"/>
      <c r="C58" s="237"/>
      <c r="D58" s="237"/>
      <c r="E58" s="237"/>
      <c r="F58" s="237"/>
      <c r="G58" s="237"/>
      <c r="H58" s="237"/>
      <c r="I58" s="237"/>
      <c r="J58" s="237"/>
      <c r="K58" s="237"/>
      <c r="L58" s="237"/>
      <c r="M58" s="237"/>
      <c r="N58" s="238"/>
      <c r="P58" s="8"/>
      <c r="Q58" s="8"/>
      <c r="R58" s="8"/>
      <c r="S58" s="8"/>
    </row>
    <row r="59" spans="1:21" s="3" customFormat="1" x14ac:dyDescent="0.25">
      <c r="A59" s="7" t="s">
        <v>857</v>
      </c>
      <c r="B59" s="7"/>
      <c r="C59" s="7"/>
      <c r="D59" s="7"/>
      <c r="E59" s="7"/>
      <c r="F59" s="7"/>
      <c r="G59" s="7"/>
      <c r="H59" s="7"/>
      <c r="I59" s="7"/>
      <c r="J59" s="7"/>
      <c r="K59" s="7"/>
      <c r="L59" s="2"/>
      <c r="M59" s="495"/>
      <c r="N59" s="495"/>
      <c r="P59" s="114"/>
      <c r="Q59" s="114"/>
      <c r="R59" s="114"/>
      <c r="S59" s="796"/>
    </row>
    <row r="60" spans="1:21" s="3" customFormat="1" x14ac:dyDescent="0.25">
      <c r="A60" s="7" t="s">
        <v>873</v>
      </c>
      <c r="B60" s="7"/>
      <c r="C60" s="7"/>
      <c r="D60" s="7"/>
      <c r="E60" s="7"/>
      <c r="F60" s="7"/>
      <c r="G60" s="7"/>
      <c r="H60" s="7"/>
      <c r="I60" s="7"/>
      <c r="J60" s="7"/>
      <c r="K60" s="7"/>
      <c r="L60" s="2"/>
      <c r="P60" s="8"/>
      <c r="Q60" s="8"/>
      <c r="R60" s="8"/>
      <c r="S60" s="8"/>
    </row>
    <row r="61" spans="1:21" s="3" customFormat="1" x14ac:dyDescent="0.25">
      <c r="A61" s="7"/>
      <c r="B61" s="7"/>
      <c r="C61" s="7"/>
      <c r="D61" s="7"/>
      <c r="E61" s="7"/>
      <c r="F61" s="7"/>
      <c r="G61" s="7"/>
      <c r="H61" s="7"/>
      <c r="I61" s="7"/>
      <c r="J61" s="7"/>
      <c r="K61" s="7"/>
      <c r="L61" s="2"/>
      <c r="M61" s="495"/>
      <c r="N61" s="495"/>
      <c r="O61" s="495"/>
    </row>
    <row r="62" spans="1:21" s="3" customFormat="1" ht="5.25" customHeight="1" x14ac:dyDescent="0.25">
      <c r="A62" s="7"/>
      <c r="B62" s="7"/>
      <c r="C62" s="7"/>
      <c r="D62" s="7"/>
      <c r="E62" s="7"/>
      <c r="F62" s="7"/>
      <c r="G62" s="7"/>
      <c r="H62" s="7"/>
      <c r="I62" s="7"/>
      <c r="J62" s="7"/>
      <c r="K62" s="7"/>
      <c r="L62" s="2"/>
    </row>
  </sheetData>
  <sheetProtection insertRows="0" deleteRows="0"/>
  <mergeCells count="22">
    <mergeCell ref="M33:M34"/>
    <mergeCell ref="N33:N34"/>
    <mergeCell ref="N6:N7"/>
    <mergeCell ref="A32:A35"/>
    <mergeCell ref="B32:B34"/>
    <mergeCell ref="C32:D32"/>
    <mergeCell ref="E32:L32"/>
    <mergeCell ref="M32:N32"/>
    <mergeCell ref="C33:C34"/>
    <mergeCell ref="D33:D34"/>
    <mergeCell ref="E33:I33"/>
    <mergeCell ref="J33:L33"/>
    <mergeCell ref="A5:A8"/>
    <mergeCell ref="B5:B7"/>
    <mergeCell ref="C5:D5"/>
    <mergeCell ref="E5:L5"/>
    <mergeCell ref="M5:N5"/>
    <mergeCell ref="C6:C7"/>
    <mergeCell ref="D6:D7"/>
    <mergeCell ref="E6:I6"/>
    <mergeCell ref="J6:L6"/>
    <mergeCell ref="M6:M7"/>
  </mergeCells>
  <printOptions horizontalCentered="1"/>
  <pageMargins left="0" right="0" top="0.39370078740157483" bottom="0" header="0.23622047244094491" footer="0.15748031496062992"/>
  <pageSetup paperSize="9" scale="73" orientation="landscape" cellComments="asDisplaye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O31"/>
  <sheetViews>
    <sheetView workbookViewId="0">
      <pane xSplit="7" ySplit="6" topLeftCell="H7" activePane="bottomRight" state="frozen"/>
      <selection activeCell="B151" sqref="B151"/>
      <selection pane="topRight" activeCell="B151" sqref="B151"/>
      <selection pane="bottomLeft" activeCell="B151" sqref="B151"/>
      <selection pane="bottomRight" activeCell="B151" sqref="B151"/>
    </sheetView>
  </sheetViews>
  <sheetFormatPr defaultColWidth="9.140625" defaultRowHeight="12.75" x14ac:dyDescent="0.25"/>
  <cols>
    <col min="1" max="1" width="3.5703125" style="8" customWidth="1"/>
    <col min="2" max="2" width="6.28515625" style="8" customWidth="1"/>
    <col min="3" max="3" width="10.5703125" style="121" customWidth="1"/>
    <col min="4" max="4" width="13.28515625" style="121" customWidth="1"/>
    <col min="5" max="5" width="12.28515625" style="121" customWidth="1"/>
    <col min="6" max="6" width="6.140625" style="121" customWidth="1"/>
    <col min="7" max="7" width="8.42578125" style="121" customWidth="1"/>
    <col min="8" max="8" width="15.140625" style="121" customWidth="1"/>
    <col min="9" max="9" width="14.28515625" style="121" customWidth="1"/>
    <col min="10" max="10" width="12.28515625" style="121" customWidth="1"/>
    <col min="11" max="11" width="15.140625" style="121" customWidth="1"/>
    <col min="12" max="12" width="14.5703125" style="8" customWidth="1"/>
    <col min="13" max="13" width="11.28515625" style="8" customWidth="1"/>
    <col min="14" max="16384" width="9.140625" style="8"/>
  </cols>
  <sheetData>
    <row r="1" spans="1:15" ht="23.25" customHeight="1" x14ac:dyDescent="0.25">
      <c r="A1" s="239" t="s">
        <v>1229</v>
      </c>
      <c r="B1" s="7"/>
      <c r="C1" s="241"/>
      <c r="D1" s="241"/>
      <c r="E1" s="241"/>
      <c r="F1" s="241"/>
      <c r="G1" s="241"/>
      <c r="H1" s="241"/>
      <c r="I1" s="241"/>
      <c r="J1" s="241"/>
      <c r="K1" s="241"/>
      <c r="L1" s="7"/>
      <c r="M1" s="7"/>
    </row>
    <row r="2" spans="1:15" ht="13.5" thickBot="1" x14ac:dyDescent="0.3">
      <c r="A2" s="7"/>
      <c r="B2" s="7"/>
      <c r="C2" s="241"/>
      <c r="D2" s="241"/>
      <c r="E2" s="241"/>
      <c r="F2" s="241"/>
      <c r="G2" s="241"/>
      <c r="H2" s="241"/>
      <c r="I2" s="241"/>
      <c r="J2" s="241"/>
      <c r="K2" s="241"/>
      <c r="L2" s="242"/>
      <c r="M2" s="1194" t="s">
        <v>623</v>
      </c>
    </row>
    <row r="3" spans="1:15" ht="15" customHeight="1" x14ac:dyDescent="0.25">
      <c r="A3" s="1656" t="s">
        <v>341</v>
      </c>
      <c r="B3" s="1650" t="s">
        <v>522</v>
      </c>
      <c r="C3" s="1650"/>
      <c r="D3" s="1650"/>
      <c r="E3" s="1650"/>
      <c r="F3" s="1650"/>
      <c r="G3" s="1627"/>
      <c r="H3" s="560" t="s">
        <v>1263</v>
      </c>
      <c r="I3" s="1655" t="s">
        <v>346</v>
      </c>
      <c r="J3" s="1476"/>
      <c r="K3" s="243" t="s">
        <v>347</v>
      </c>
      <c r="L3" s="557" t="s">
        <v>1196</v>
      </c>
      <c r="M3" s="1659" t="s">
        <v>1226</v>
      </c>
    </row>
    <row r="4" spans="1:15" ht="48.75" customHeight="1" x14ac:dyDescent="0.25">
      <c r="A4" s="1657"/>
      <c r="B4" s="1651"/>
      <c r="C4" s="1651"/>
      <c r="D4" s="1651"/>
      <c r="E4" s="1651"/>
      <c r="F4" s="1651"/>
      <c r="G4" s="1652"/>
      <c r="H4" s="561" t="s">
        <v>1271</v>
      </c>
      <c r="I4" s="555" t="s">
        <v>1272</v>
      </c>
      <c r="J4" s="178" t="s">
        <v>876</v>
      </c>
      <c r="K4" s="556" t="s">
        <v>348</v>
      </c>
      <c r="L4" s="558" t="s">
        <v>481</v>
      </c>
      <c r="M4" s="1660"/>
    </row>
    <row r="5" spans="1:15" ht="16.149999999999999" customHeight="1" thickBot="1" x14ac:dyDescent="0.3">
      <c r="A5" s="1658"/>
      <c r="B5" s="1653"/>
      <c r="C5" s="1653"/>
      <c r="D5" s="1653"/>
      <c r="E5" s="1653"/>
      <c r="F5" s="1653"/>
      <c r="G5" s="1654"/>
      <c r="H5" s="562" t="s">
        <v>405</v>
      </c>
      <c r="I5" s="554" t="s">
        <v>406</v>
      </c>
      <c r="J5" s="554" t="s">
        <v>407</v>
      </c>
      <c r="K5" s="572" t="s">
        <v>408</v>
      </c>
      <c r="L5" s="559" t="s">
        <v>482</v>
      </c>
      <c r="M5" s="1660"/>
    </row>
    <row r="6" spans="1:15" x14ac:dyDescent="0.25">
      <c r="A6" s="550">
        <v>1</v>
      </c>
      <c r="B6" s="551" t="s">
        <v>483</v>
      </c>
      <c r="C6" s="552"/>
      <c r="D6" s="552"/>
      <c r="E6" s="552"/>
      <c r="F6" s="552"/>
      <c r="G6" s="552"/>
      <c r="H6" s="563">
        <f>SUM(H7:H11)+H14+H15</f>
        <v>4655295.4287799997</v>
      </c>
      <c r="I6" s="701">
        <f>SUM(I7:I11)+I14+I15</f>
        <v>2824473.7742499998</v>
      </c>
      <c r="J6" s="567">
        <f>SUM(J7:J11)+J14+J15</f>
        <v>80128.577600000004</v>
      </c>
      <c r="K6" s="701">
        <f>SUM(K7:K11)+K14+K15</f>
        <v>1643394.4071200001</v>
      </c>
      <c r="L6" s="553">
        <f>SUM(L7:L11)+L14+L15</f>
        <v>5836374.7959099989</v>
      </c>
      <c r="M6" s="1661"/>
      <c r="N6" s="114"/>
    </row>
    <row r="7" spans="1:15" x14ac:dyDescent="0.25">
      <c r="A7" s="244">
        <f t="shared" ref="A7:A15" si="0">A6+1</f>
        <v>2</v>
      </c>
      <c r="B7" s="245" t="s">
        <v>343</v>
      </c>
      <c r="C7" s="246" t="s">
        <v>349</v>
      </c>
      <c r="D7" s="247"/>
      <c r="E7" s="247"/>
      <c r="F7" s="247"/>
      <c r="G7" s="247"/>
      <c r="H7" s="564">
        <f>'11.a'!C4</f>
        <v>40934.135819999996</v>
      </c>
      <c r="I7" s="406">
        <f>'11.a'!C9</f>
        <v>0</v>
      </c>
      <c r="J7" s="568">
        <f>'11.a'!C5</f>
        <v>0</v>
      </c>
      <c r="K7" s="406">
        <f>'11.a'!C15</f>
        <v>8100</v>
      </c>
      <c r="L7" s="409">
        <f>H7+I7-K7</f>
        <v>32834.135819999996</v>
      </c>
      <c r="M7" s="1192">
        <v>0</v>
      </c>
      <c r="N7" s="114"/>
    </row>
    <row r="8" spans="1:15" x14ac:dyDescent="0.25">
      <c r="A8" s="248">
        <f t="shared" si="0"/>
        <v>3</v>
      </c>
      <c r="B8" s="249"/>
      <c r="C8" s="250" t="s">
        <v>350</v>
      </c>
      <c r="D8" s="251"/>
      <c r="E8" s="251"/>
      <c r="F8" s="251"/>
      <c r="G8" s="251"/>
      <c r="H8" s="565">
        <f>'11.b'!C4</f>
        <v>1169642.4959999998</v>
      </c>
      <c r="I8" s="407">
        <f>'11.b'!C15</f>
        <v>775745.52534999989</v>
      </c>
      <c r="J8" s="569">
        <f>'11.b'!C6</f>
        <v>45307.013729999999</v>
      </c>
      <c r="K8" s="407">
        <f>'11.b'!C26</f>
        <v>447749.22477999993</v>
      </c>
      <c r="L8" s="410">
        <f t="shared" ref="L8:L15" si="1">H8+I8-K8</f>
        <v>1497638.7965699998</v>
      </c>
      <c r="M8" s="1190">
        <v>109.71429000000001</v>
      </c>
      <c r="N8" s="114"/>
    </row>
    <row r="9" spans="1:15" x14ac:dyDescent="0.25">
      <c r="A9" s="248">
        <f t="shared" si="0"/>
        <v>4</v>
      </c>
      <c r="B9" s="249"/>
      <c r="C9" s="250" t="s">
        <v>351</v>
      </c>
      <c r="D9" s="251"/>
      <c r="E9" s="251"/>
      <c r="F9" s="251"/>
      <c r="G9" s="251"/>
      <c r="H9" s="565">
        <f>'11.c'!C4</f>
        <v>239990.56062</v>
      </c>
      <c r="I9" s="407">
        <f>'11.c'!C8</f>
        <v>153973.46100999997</v>
      </c>
      <c r="J9" s="570">
        <v>0</v>
      </c>
      <c r="K9" s="407">
        <f>'11.c'!C9</f>
        <v>127868.47798</v>
      </c>
      <c r="L9" s="410">
        <f>H9+I9-K9</f>
        <v>266095.54365000001</v>
      </c>
      <c r="M9" s="1190">
        <v>0</v>
      </c>
      <c r="N9" s="114"/>
      <c r="O9" s="114"/>
    </row>
    <row r="10" spans="1:15" x14ac:dyDescent="0.25">
      <c r="A10" s="248">
        <f t="shared" si="0"/>
        <v>5</v>
      </c>
      <c r="B10" s="249"/>
      <c r="C10" s="250" t="s">
        <v>352</v>
      </c>
      <c r="D10" s="251"/>
      <c r="E10" s="251"/>
      <c r="F10" s="251"/>
      <c r="G10" s="251"/>
      <c r="H10" s="565">
        <f>'11.d'!C4</f>
        <v>39710.786650000002</v>
      </c>
      <c r="I10" s="407">
        <f>'11.d'!C10</f>
        <v>2902.4402399999999</v>
      </c>
      <c r="J10" s="568">
        <f>'11.d'!C5</f>
        <v>2902.4402399999999</v>
      </c>
      <c r="K10" s="407">
        <f>'11.d'!C16</f>
        <v>798.94</v>
      </c>
      <c r="L10" s="410">
        <f t="shared" si="1"/>
        <v>41814.286890000003</v>
      </c>
      <c r="M10" s="1190" t="s">
        <v>835</v>
      </c>
      <c r="N10" s="114"/>
      <c r="O10" s="591"/>
    </row>
    <row r="11" spans="1:15" x14ac:dyDescent="0.25">
      <c r="A11" s="248">
        <f t="shared" si="0"/>
        <v>6</v>
      </c>
      <c r="B11" s="249"/>
      <c r="C11" s="250" t="s">
        <v>353</v>
      </c>
      <c r="D11" s="251"/>
      <c r="E11" s="251"/>
      <c r="F11" s="251"/>
      <c r="G11" s="251"/>
      <c r="H11" s="565">
        <f>'11.e'!F9</f>
        <v>291028.82829999999</v>
      </c>
      <c r="I11" s="407">
        <f>'11.e'!F14</f>
        <v>719741.33808999998</v>
      </c>
      <c r="J11" s="570">
        <v>0</v>
      </c>
      <c r="K11" s="407">
        <f>'11.e'!F19</f>
        <v>249588.05547999998</v>
      </c>
      <c r="L11" s="410">
        <f t="shared" si="1"/>
        <v>761182.11090999993</v>
      </c>
      <c r="M11" s="1190">
        <v>0</v>
      </c>
      <c r="N11" s="114"/>
      <c r="O11" s="114"/>
    </row>
    <row r="12" spans="1:15" x14ac:dyDescent="0.25">
      <c r="A12" s="248" t="s">
        <v>484</v>
      </c>
      <c r="B12" s="249"/>
      <c r="C12" s="250" t="s">
        <v>356</v>
      </c>
      <c r="D12" s="251" t="s">
        <v>357</v>
      </c>
      <c r="E12" s="251"/>
      <c r="F12" s="251"/>
      <c r="G12" s="251"/>
      <c r="H12" s="565">
        <f>'11.e'!F7</f>
        <v>138745.21844999999</v>
      </c>
      <c r="I12" s="407">
        <f>'11.e'!F12</f>
        <v>608154.60811000003</v>
      </c>
      <c r="J12" s="570">
        <v>0</v>
      </c>
      <c r="K12" s="407">
        <f>'11.e'!F17</f>
        <v>126256.73237</v>
      </c>
      <c r="L12" s="410">
        <f t="shared" si="1"/>
        <v>620643.09418999997</v>
      </c>
      <c r="M12" s="1190">
        <v>0</v>
      </c>
      <c r="N12" s="114"/>
    </row>
    <row r="13" spans="1:15" x14ac:dyDescent="0.25">
      <c r="A13" s="248" t="s">
        <v>485</v>
      </c>
      <c r="B13" s="249"/>
      <c r="C13" s="250"/>
      <c r="D13" s="251" t="s">
        <v>358</v>
      </c>
      <c r="E13" s="251"/>
      <c r="F13" s="251"/>
      <c r="G13" s="251"/>
      <c r="H13" s="565">
        <f>'11.e'!F8</f>
        <v>64555.766170000003</v>
      </c>
      <c r="I13" s="407">
        <f>'11.e'!F13</f>
        <v>34940.491770000001</v>
      </c>
      <c r="J13" s="570">
        <v>0</v>
      </c>
      <c r="K13" s="407">
        <f>'11.e'!F18</f>
        <v>47530.854629999994</v>
      </c>
      <c r="L13" s="410">
        <f t="shared" si="1"/>
        <v>51965.403310000016</v>
      </c>
      <c r="M13" s="1190">
        <v>0</v>
      </c>
      <c r="N13" s="114"/>
    </row>
    <row r="14" spans="1:15" x14ac:dyDescent="0.25">
      <c r="A14" s="248">
        <f>A11+1</f>
        <v>7</v>
      </c>
      <c r="B14" s="249"/>
      <c r="C14" s="250" t="s">
        <v>354</v>
      </c>
      <c r="D14" s="251"/>
      <c r="E14" s="251"/>
      <c r="F14" s="251"/>
      <c r="G14" s="251"/>
      <c r="H14" s="565">
        <f>'11.f'!C4</f>
        <v>173847.23072000002</v>
      </c>
      <c r="I14" s="407">
        <f>'11.f'!C5</f>
        <v>63063.229579999992</v>
      </c>
      <c r="J14" s="570">
        <v>0</v>
      </c>
      <c r="K14" s="407">
        <f>'11.f'!C16</f>
        <v>83547.208400000003</v>
      </c>
      <c r="L14" s="410">
        <f t="shared" si="1"/>
        <v>153363.2519</v>
      </c>
      <c r="M14" s="1190">
        <v>0</v>
      </c>
      <c r="N14" s="114"/>
    </row>
    <row r="15" spans="1:15" ht="13.5" thickBot="1" x14ac:dyDescent="0.3">
      <c r="A15" s="252">
        <f t="shared" si="0"/>
        <v>8</v>
      </c>
      <c r="B15" s="253"/>
      <c r="C15" s="254" t="s">
        <v>355</v>
      </c>
      <c r="D15" s="255"/>
      <c r="E15" s="255"/>
      <c r="F15" s="255"/>
      <c r="G15" s="255"/>
      <c r="H15" s="566">
        <f>'11.g'!C4</f>
        <v>2700141.3906700001</v>
      </c>
      <c r="I15" s="408">
        <f>'11.g'!C11</f>
        <v>1109047.7799800001</v>
      </c>
      <c r="J15" s="571">
        <f>'11.g'!C6</f>
        <v>31919.123630000002</v>
      </c>
      <c r="K15" s="408">
        <f>'11.g'!C17</f>
        <v>725742.50048000016</v>
      </c>
      <c r="L15" s="411">
        <f t="shared" si="1"/>
        <v>3083446.6701699998</v>
      </c>
      <c r="M15" s="1191">
        <v>10094.653770000001</v>
      </c>
      <c r="N15" s="114"/>
    </row>
    <row r="16" spans="1:15" hidden="1" x14ac:dyDescent="0.25">
      <c r="B16" s="161" t="s">
        <v>1249</v>
      </c>
      <c r="C16" s="256"/>
      <c r="D16" s="256"/>
      <c r="E16" s="256"/>
      <c r="F16" s="256"/>
      <c r="G16" s="256"/>
      <c r="H16" s="1302">
        <f>H6-'1'!D93</f>
        <v>0.42877999972552061</v>
      </c>
      <c r="I16" s="256"/>
      <c r="J16" s="256"/>
      <c r="K16" s="256"/>
      <c r="L16" s="257">
        <f>L6-'1'!E93</f>
        <v>-0.20409000106155872</v>
      </c>
      <c r="N16" s="1095"/>
    </row>
    <row r="17" spans="1:14" x14ac:dyDescent="0.2">
      <c r="L17" s="114"/>
      <c r="N17" s="1096"/>
    </row>
    <row r="18" spans="1:14" ht="24" customHeight="1" x14ac:dyDescent="0.25">
      <c r="A18" s="1649"/>
      <c r="B18" s="1313"/>
      <c r="C18" s="1313"/>
      <c r="D18" s="1313"/>
      <c r="E18" s="1313"/>
      <c r="F18" s="1313"/>
      <c r="G18" s="1313"/>
      <c r="H18" s="1313"/>
      <c r="I18" s="1313"/>
      <c r="J18" s="1313"/>
      <c r="K18" s="1313"/>
      <c r="L18" s="1313"/>
      <c r="M18" s="1313"/>
      <c r="N18" s="1096"/>
    </row>
    <row r="19" spans="1:14" x14ac:dyDescent="0.2">
      <c r="H19" s="114"/>
      <c r="L19" s="114"/>
      <c r="N19" s="107"/>
    </row>
    <row r="20" spans="1:14" x14ac:dyDescent="0.2">
      <c r="H20" s="114"/>
      <c r="L20" s="114"/>
      <c r="N20" s="107"/>
    </row>
    <row r="21" spans="1:14" x14ac:dyDescent="0.25">
      <c r="A21" s="8" t="s">
        <v>467</v>
      </c>
    </row>
    <row r="22" spans="1:14" x14ac:dyDescent="0.25">
      <c r="A22" s="8" t="s">
        <v>1227</v>
      </c>
    </row>
    <row r="23" spans="1:14" x14ac:dyDescent="0.25">
      <c r="A23" s="1126" t="s">
        <v>1228</v>
      </c>
      <c r="B23" s="1127"/>
      <c r="C23" s="1128"/>
      <c r="D23" s="1128"/>
      <c r="E23" s="1128"/>
      <c r="F23" s="1129"/>
      <c r="G23" s="1128"/>
      <c r="H23" s="1128"/>
      <c r="I23" s="258"/>
      <c r="J23" s="258"/>
    </row>
    <row r="24" spans="1:14" x14ac:dyDescent="0.25">
      <c r="A24" s="223"/>
      <c r="B24" s="258"/>
      <c r="C24" s="258"/>
      <c r="D24" s="258"/>
      <c r="E24" s="258"/>
      <c r="F24" s="258"/>
      <c r="G24" s="258"/>
      <c r="H24" s="258"/>
      <c r="I24" s="258"/>
      <c r="J24" s="258"/>
    </row>
    <row r="25" spans="1:14" x14ac:dyDescent="0.25">
      <c r="A25" s="8" t="s">
        <v>493</v>
      </c>
      <c r="B25" s="223"/>
      <c r="C25" s="223"/>
      <c r="D25" s="258"/>
      <c r="E25" s="258"/>
      <c r="F25" s="223"/>
      <c r="G25" s="258"/>
      <c r="H25" s="258"/>
      <c r="I25" s="258"/>
      <c r="J25" s="258"/>
    </row>
    <row r="26" spans="1:14" x14ac:dyDescent="0.25">
      <c r="A26" s="8" t="s">
        <v>877</v>
      </c>
      <c r="B26" s="223"/>
      <c r="C26" s="223"/>
      <c r="D26" s="258"/>
      <c r="E26" s="258"/>
      <c r="F26" s="223"/>
      <c r="G26" s="258"/>
      <c r="H26" s="258"/>
      <c r="I26" s="258"/>
      <c r="J26" s="258"/>
    </row>
    <row r="27" spans="1:14" x14ac:dyDescent="0.25">
      <c r="A27" s="8" t="s">
        <v>878</v>
      </c>
      <c r="B27" s="223"/>
      <c r="C27" s="258"/>
      <c r="D27" s="258"/>
      <c r="E27" s="258"/>
      <c r="F27" s="258"/>
      <c r="G27" s="258"/>
      <c r="H27" s="258"/>
      <c r="I27" s="258"/>
      <c r="J27" s="258"/>
    </row>
    <row r="29" spans="1:14" x14ac:dyDescent="0.25">
      <c r="I29" s="114"/>
      <c r="J29" s="122"/>
    </row>
    <row r="31" spans="1:14" x14ac:dyDescent="0.2">
      <c r="B31" s="1208"/>
    </row>
  </sheetData>
  <mergeCells count="5">
    <mergeCell ref="A18:M18"/>
    <mergeCell ref="B3:G5"/>
    <mergeCell ref="I3:J3"/>
    <mergeCell ref="A3:A5"/>
    <mergeCell ref="M3:M6"/>
  </mergeCells>
  <printOptions horizontalCentered="1"/>
  <pageMargins left="0.23622047244094491" right="0.23622047244094491" top="0.86614173228346458" bottom="0.98425196850393704" header="0.51181102362204722" footer="0.51181102362204722"/>
  <pageSetup paperSize="9" scale="99" orientation="landscape" cellComments="asDisplaye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F28"/>
  <sheetViews>
    <sheetView zoomScaleNormal="100" workbookViewId="0">
      <selection activeCell="B151" sqref="B151"/>
    </sheetView>
  </sheetViews>
  <sheetFormatPr defaultColWidth="9.140625" defaultRowHeight="12.75" x14ac:dyDescent="0.25"/>
  <cols>
    <col min="1" max="1" width="14.42578125" style="8" customWidth="1"/>
    <col min="2" max="2" width="30.140625" style="8" customWidth="1"/>
    <col min="3" max="3" width="16.140625" style="121" customWidth="1"/>
    <col min="4" max="4" width="13.28515625" style="7" customWidth="1"/>
    <col min="5" max="6" width="9.140625" style="7"/>
    <col min="7" max="12" width="9.140625" style="8"/>
    <col min="13" max="13" width="11.28515625" style="8" customWidth="1"/>
    <col min="14" max="16384" width="9.140625" style="8"/>
  </cols>
  <sheetData>
    <row r="1" spans="1:4" ht="18.75" x14ac:dyDescent="0.25">
      <c r="A1" s="105" t="s">
        <v>879</v>
      </c>
    </row>
    <row r="2" spans="1:4" ht="18.75" x14ac:dyDescent="0.25">
      <c r="A2" s="105"/>
    </row>
    <row r="3" spans="1:4" ht="13.5" thickBot="1" x14ac:dyDescent="0.3">
      <c r="C3" s="1194" t="s">
        <v>623</v>
      </c>
    </row>
    <row r="4" spans="1:4" ht="13.5" thickBot="1" x14ac:dyDescent="0.3">
      <c r="A4" s="1662" t="s">
        <v>372</v>
      </c>
      <c r="B4" s="1663"/>
      <c r="C4" s="573">
        <v>40934.135819999996</v>
      </c>
    </row>
    <row r="5" spans="1:4" x14ac:dyDescent="0.25">
      <c r="A5" s="1492" t="s">
        <v>374</v>
      </c>
      <c r="B5" s="259" t="s">
        <v>880</v>
      </c>
      <c r="C5" s="260">
        <v>0</v>
      </c>
    </row>
    <row r="6" spans="1:4" x14ac:dyDescent="0.25">
      <c r="A6" s="1664"/>
      <c r="B6" s="146" t="s">
        <v>375</v>
      </c>
      <c r="C6" s="261">
        <v>0</v>
      </c>
    </row>
    <row r="7" spans="1:4" x14ac:dyDescent="0.25">
      <c r="A7" s="1664"/>
      <c r="B7" s="146" t="s">
        <v>376</v>
      </c>
      <c r="C7" s="261">
        <v>0</v>
      </c>
    </row>
    <row r="8" spans="1:4" ht="13.5" thickBot="1" x14ac:dyDescent="0.3">
      <c r="A8" s="1664"/>
      <c r="B8" s="146" t="s">
        <v>377</v>
      </c>
      <c r="C8" s="261">
        <v>0</v>
      </c>
    </row>
    <row r="9" spans="1:4" ht="13.5" thickBot="1" x14ac:dyDescent="0.3">
      <c r="A9" s="1493"/>
      <c r="B9" s="574" t="s">
        <v>359</v>
      </c>
      <c r="C9" s="575">
        <v>0</v>
      </c>
    </row>
    <row r="10" spans="1:4" x14ac:dyDescent="0.25">
      <c r="A10" s="1492" t="s">
        <v>378</v>
      </c>
      <c r="B10" s="259" t="s">
        <v>379</v>
      </c>
      <c r="C10" s="260">
        <v>0</v>
      </c>
    </row>
    <row r="11" spans="1:4" x14ac:dyDescent="0.25">
      <c r="A11" s="1664"/>
      <c r="B11" s="146" t="s">
        <v>380</v>
      </c>
      <c r="C11" s="261">
        <v>8100</v>
      </c>
    </row>
    <row r="12" spans="1:4" x14ac:dyDescent="0.25">
      <c r="A12" s="1664"/>
      <c r="B12" s="146" t="s">
        <v>381</v>
      </c>
      <c r="C12" s="261">
        <v>0</v>
      </c>
    </row>
    <row r="13" spans="1:4" x14ac:dyDescent="0.25">
      <c r="A13" s="1664"/>
      <c r="B13" s="146" t="s">
        <v>382</v>
      </c>
      <c r="C13" s="261">
        <v>0</v>
      </c>
    </row>
    <row r="14" spans="1:4" ht="13.5" thickBot="1" x14ac:dyDescent="0.3">
      <c r="A14" s="1664"/>
      <c r="B14" s="262" t="s">
        <v>513</v>
      </c>
      <c r="C14" s="263">
        <v>0</v>
      </c>
    </row>
    <row r="15" spans="1:4" ht="13.5" thickBot="1" x14ac:dyDescent="0.3">
      <c r="A15" s="1493"/>
      <c r="B15" s="574" t="s">
        <v>359</v>
      </c>
      <c r="C15" s="575">
        <v>8100</v>
      </c>
    </row>
    <row r="16" spans="1:4" ht="13.5" thickBot="1" x14ac:dyDescent="0.3">
      <c r="A16" s="1662" t="s">
        <v>373</v>
      </c>
      <c r="B16" s="1663"/>
      <c r="C16" s="575">
        <v>32834.135819999996</v>
      </c>
      <c r="D16" s="113"/>
    </row>
    <row r="18" spans="1:6" x14ac:dyDescent="0.25">
      <c r="A18" s="8" t="s">
        <v>467</v>
      </c>
    </row>
    <row r="19" spans="1:6" x14ac:dyDescent="0.25">
      <c r="A19" s="8" t="s">
        <v>1105</v>
      </c>
    </row>
    <row r="20" spans="1:6" s="7" customFormat="1" x14ac:dyDescent="0.25">
      <c r="C20" s="241"/>
      <c r="F20" s="778"/>
    </row>
    <row r="21" spans="1:6" s="7" customFormat="1" x14ac:dyDescent="0.25">
      <c r="C21" s="241"/>
    </row>
    <row r="22" spans="1:6" s="7" customFormat="1" x14ac:dyDescent="0.25">
      <c r="C22" s="241"/>
    </row>
    <row r="23" spans="1:6" s="7" customFormat="1" x14ac:dyDescent="0.25">
      <c r="C23" s="241"/>
    </row>
    <row r="24" spans="1:6" s="7" customFormat="1" x14ac:dyDescent="0.25">
      <c r="C24" s="241"/>
    </row>
    <row r="25" spans="1:6" s="7" customFormat="1" x14ac:dyDescent="0.25">
      <c r="C25" s="241"/>
    </row>
    <row r="26" spans="1:6" s="7" customFormat="1" x14ac:dyDescent="0.25">
      <c r="C26" s="241"/>
    </row>
    <row r="27" spans="1:6" s="7" customFormat="1" x14ac:dyDescent="0.25">
      <c r="C27" s="241"/>
    </row>
    <row r="28" spans="1:6" s="7" customFormat="1" x14ac:dyDescent="0.25">
      <c r="C28" s="241"/>
    </row>
  </sheetData>
  <mergeCells count="4">
    <mergeCell ref="A4:B4"/>
    <mergeCell ref="A5:A9"/>
    <mergeCell ref="A10:A15"/>
    <mergeCell ref="A16:B16"/>
  </mergeCells>
  <printOptions horizontalCentered="1"/>
  <pageMargins left="0.78740157480314965" right="0.78740157480314965" top="0.98425196850393704" bottom="0.98425196850393704" header="0.51181102362204722" footer="0.51181102362204722"/>
  <pageSetup paperSize="9" scale="11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M53"/>
  <sheetViews>
    <sheetView topLeftCell="A13" zoomScaleNormal="100" workbookViewId="0">
      <selection activeCell="B151" sqref="B151"/>
    </sheetView>
  </sheetViews>
  <sheetFormatPr defaultColWidth="9.140625" defaultRowHeight="12.75" x14ac:dyDescent="0.2"/>
  <cols>
    <col min="1" max="1" width="10.5703125" style="107" customWidth="1"/>
    <col min="2" max="2" width="43.5703125" style="107" customWidth="1"/>
    <col min="3" max="3" width="17" style="282" customWidth="1"/>
    <col min="4" max="4" width="13.28515625" style="107" customWidth="1"/>
    <col min="5" max="5" width="9.140625" style="107" customWidth="1"/>
    <col min="6" max="12" width="9.140625" style="107"/>
    <col min="13" max="13" width="11.28515625" style="107" customWidth="1"/>
    <col min="14" max="16384" width="9.140625" style="107"/>
  </cols>
  <sheetData>
    <row r="1" spans="1:3" ht="21" x14ac:dyDescent="0.35">
      <c r="A1" s="1196" t="s">
        <v>882</v>
      </c>
      <c r="C1" s="107"/>
    </row>
    <row r="2" spans="1:3" ht="9" customHeight="1" x14ac:dyDescent="0.3">
      <c r="A2" s="264"/>
      <c r="C2" s="107"/>
    </row>
    <row r="3" spans="1:3" ht="13.5" customHeight="1" thickBot="1" x14ac:dyDescent="0.25">
      <c r="C3" s="1194" t="s">
        <v>623</v>
      </c>
    </row>
    <row r="4" spans="1:3" ht="16.7" customHeight="1" thickBot="1" x14ac:dyDescent="0.25">
      <c r="A4" s="1662" t="s">
        <v>372</v>
      </c>
      <c r="B4" s="1665"/>
      <c r="C4" s="576">
        <v>1169642.4959999998</v>
      </c>
    </row>
    <row r="5" spans="1:3" ht="12.75" customHeight="1" x14ac:dyDescent="0.2">
      <c r="A5" s="1550" t="s">
        <v>374</v>
      </c>
      <c r="B5" s="266" t="s">
        <v>383</v>
      </c>
      <c r="C5" s="267">
        <v>272641.91998999997</v>
      </c>
    </row>
    <row r="6" spans="1:3" ht="12.75" customHeight="1" x14ac:dyDescent="0.2">
      <c r="A6" s="1666"/>
      <c r="B6" s="268" t="s">
        <v>883</v>
      </c>
      <c r="C6" s="269">
        <v>45307.013729999999</v>
      </c>
    </row>
    <row r="7" spans="1:3" ht="12.75" customHeight="1" x14ac:dyDescent="0.2">
      <c r="A7" s="1666"/>
      <c r="B7" s="268" t="s">
        <v>594</v>
      </c>
      <c r="C7" s="269">
        <v>0</v>
      </c>
    </row>
    <row r="8" spans="1:3" ht="12.75" customHeight="1" x14ac:dyDescent="0.2">
      <c r="A8" s="1666"/>
      <c r="B8" s="268" t="s">
        <v>384</v>
      </c>
      <c r="C8" s="269">
        <v>96032.857269999993</v>
      </c>
    </row>
    <row r="9" spans="1:3" ht="12.75" customHeight="1" x14ac:dyDescent="0.2">
      <c r="A9" s="1666"/>
      <c r="B9" s="268" t="s">
        <v>916</v>
      </c>
      <c r="C9" s="270">
        <v>554.67175000000009</v>
      </c>
    </row>
    <row r="10" spans="1:3" ht="12.75" customHeight="1" x14ac:dyDescent="0.2">
      <c r="A10" s="1666"/>
      <c r="B10" s="268" t="s">
        <v>595</v>
      </c>
      <c r="C10" s="269">
        <v>21244.096109999995</v>
      </c>
    </row>
    <row r="11" spans="1:3" ht="12.75" customHeight="1" x14ac:dyDescent="0.2">
      <c r="A11" s="1666"/>
      <c r="B11" s="271" t="s">
        <v>385</v>
      </c>
      <c r="C11" s="669">
        <v>339964.96650000004</v>
      </c>
    </row>
    <row r="12" spans="1:3" ht="12.75" customHeight="1" x14ac:dyDescent="0.2">
      <c r="A12" s="1666"/>
      <c r="B12" s="268" t="s">
        <v>386</v>
      </c>
      <c r="C12" s="269">
        <v>0</v>
      </c>
    </row>
    <row r="13" spans="1:3" ht="12.75" customHeight="1" x14ac:dyDescent="0.2">
      <c r="A13" s="1666"/>
      <c r="B13" s="272" t="s">
        <v>387</v>
      </c>
      <c r="C13" s="269">
        <v>331864.96650000004</v>
      </c>
    </row>
    <row r="14" spans="1:3" ht="12.75" customHeight="1" thickBot="1" x14ac:dyDescent="0.25">
      <c r="A14" s="1666"/>
      <c r="B14" s="268" t="s">
        <v>388</v>
      </c>
      <c r="C14" s="273">
        <v>8100</v>
      </c>
    </row>
    <row r="15" spans="1:3" s="274" customFormat="1" ht="16.149999999999999" customHeight="1" thickBot="1" x14ac:dyDescent="0.25">
      <c r="A15" s="1667"/>
      <c r="B15" s="117" t="s">
        <v>360</v>
      </c>
      <c r="C15" s="673">
        <v>775745.52534999989</v>
      </c>
    </row>
    <row r="16" spans="1:3" ht="12.75" customHeight="1" x14ac:dyDescent="0.2">
      <c r="A16" s="1668" t="s">
        <v>378</v>
      </c>
      <c r="B16" s="387" t="s">
        <v>434</v>
      </c>
      <c r="C16" s="388">
        <v>445640.07693999994</v>
      </c>
    </row>
    <row r="17" spans="1:4" ht="12.75" customHeight="1" x14ac:dyDescent="0.2">
      <c r="A17" s="1668"/>
      <c r="B17" s="275" t="s">
        <v>502</v>
      </c>
      <c r="C17" s="276">
        <v>306403.21657999995</v>
      </c>
    </row>
    <row r="18" spans="1:4" ht="12.75" customHeight="1" x14ac:dyDescent="0.2">
      <c r="A18" s="1668"/>
      <c r="B18" s="277" t="s">
        <v>389</v>
      </c>
      <c r="C18" s="278">
        <v>81691.682120000012</v>
      </c>
      <c r="D18" s="670"/>
    </row>
    <row r="19" spans="1:4" ht="12.75" customHeight="1" x14ac:dyDescent="0.2">
      <c r="A19" s="1668"/>
      <c r="B19" s="277" t="s">
        <v>390</v>
      </c>
      <c r="C19" s="278">
        <v>5961.0654500000001</v>
      </c>
    </row>
    <row r="20" spans="1:4" ht="12.75" customHeight="1" x14ac:dyDescent="0.2">
      <c r="A20" s="1668"/>
      <c r="B20" s="277" t="s">
        <v>596</v>
      </c>
      <c r="C20" s="278">
        <v>51584.112789999985</v>
      </c>
    </row>
    <row r="21" spans="1:4" ht="12.75" customHeight="1" x14ac:dyDescent="0.2">
      <c r="A21" s="1668"/>
      <c r="B21" s="279" t="s">
        <v>597</v>
      </c>
      <c r="C21" s="389">
        <v>2109.1478400000001</v>
      </c>
    </row>
    <row r="22" spans="1:4" ht="12.75" customHeight="1" x14ac:dyDescent="0.2">
      <c r="A22" s="1668"/>
      <c r="B22" s="280" t="s">
        <v>391</v>
      </c>
      <c r="C22" s="281">
        <v>0</v>
      </c>
    </row>
    <row r="23" spans="1:4" ht="12.75" customHeight="1" x14ac:dyDescent="0.2">
      <c r="A23" s="1668"/>
      <c r="B23" s="268" t="s">
        <v>392</v>
      </c>
      <c r="C23" s="269">
        <v>0</v>
      </c>
    </row>
    <row r="24" spans="1:4" ht="12.75" customHeight="1" x14ac:dyDescent="0.2">
      <c r="A24" s="1668"/>
      <c r="B24" s="268" t="s">
        <v>393</v>
      </c>
      <c r="C24" s="269">
        <v>0</v>
      </c>
    </row>
    <row r="25" spans="1:4" ht="12.75" customHeight="1" thickBot="1" x14ac:dyDescent="0.25">
      <c r="A25" s="1668"/>
      <c r="B25" s="268" t="s">
        <v>394</v>
      </c>
      <c r="C25" s="269">
        <v>0</v>
      </c>
    </row>
    <row r="26" spans="1:4" ht="13.5" thickBot="1" x14ac:dyDescent="0.25">
      <c r="A26" s="1669"/>
      <c r="B26" s="117" t="s">
        <v>359</v>
      </c>
      <c r="C26" s="577">
        <v>447749.22477999993</v>
      </c>
      <c r="D26" s="674"/>
    </row>
    <row r="27" spans="1:4" ht="18.75" customHeight="1" thickBot="1" x14ac:dyDescent="0.25">
      <c r="A27" s="1662" t="s">
        <v>373</v>
      </c>
      <c r="B27" s="1665"/>
      <c r="C27" s="577">
        <v>1497638.7965699998</v>
      </c>
      <c r="D27" s="674"/>
    </row>
    <row r="28" spans="1:4" ht="12.75" customHeight="1" x14ac:dyDescent="0.2"/>
    <row r="29" spans="1:4" x14ac:dyDescent="0.2">
      <c r="A29" s="8" t="s">
        <v>467</v>
      </c>
    </row>
    <row r="30" spans="1:4" x14ac:dyDescent="0.2">
      <c r="A30" s="8" t="s">
        <v>881</v>
      </c>
    </row>
    <row r="31" spans="1:4" ht="4.5" customHeight="1" x14ac:dyDescent="0.2">
      <c r="A31" s="8"/>
    </row>
    <row r="32" spans="1:4" ht="12.75" customHeight="1" x14ac:dyDescent="0.2">
      <c r="A32" s="8"/>
      <c r="B32" s="835" t="s">
        <v>1107</v>
      </c>
      <c r="C32" s="1181">
        <f>SUM(C33:C36)</f>
        <v>21244.096109999999</v>
      </c>
    </row>
    <row r="33" spans="1:13" ht="12.75" customHeight="1" x14ac:dyDescent="0.2">
      <c r="A33" s="8"/>
      <c r="B33" s="1299" t="s">
        <v>1384</v>
      </c>
      <c r="C33" s="670">
        <v>1084.3097</v>
      </c>
    </row>
    <row r="34" spans="1:13" ht="12.75" customHeight="1" x14ac:dyDescent="0.2">
      <c r="A34" s="8"/>
      <c r="B34" s="1299" t="s">
        <v>1386</v>
      </c>
      <c r="C34" s="670">
        <v>103.01698</v>
      </c>
    </row>
    <row r="35" spans="1:13" ht="12.75" customHeight="1" x14ac:dyDescent="0.2">
      <c r="A35" s="8"/>
      <c r="B35" s="1299" t="s">
        <v>1386</v>
      </c>
      <c r="C35" s="670">
        <v>57.76943</v>
      </c>
    </row>
    <row r="36" spans="1:13" ht="12.75" customHeight="1" x14ac:dyDescent="0.2">
      <c r="A36" s="8"/>
      <c r="B36" s="1299" t="s">
        <v>1385</v>
      </c>
      <c r="C36" s="670">
        <v>19999</v>
      </c>
    </row>
    <row r="37" spans="1:13" ht="12.75" customHeight="1" x14ac:dyDescent="0.2">
      <c r="A37" s="8"/>
      <c r="B37" s="1184"/>
      <c r="C37" s="1181"/>
    </row>
    <row r="38" spans="1:13" ht="6" customHeight="1" x14ac:dyDescent="0.2">
      <c r="A38" s="8"/>
      <c r="B38" s="1670"/>
      <c r="C38" s="1671"/>
    </row>
    <row r="39" spans="1:13" ht="12.75" customHeight="1" x14ac:dyDescent="0.2">
      <c r="A39" s="283"/>
      <c r="B39" s="1055" t="s">
        <v>1108</v>
      </c>
      <c r="C39" s="1181">
        <f>SUM(C40:C42)</f>
        <v>51584.112789999999</v>
      </c>
      <c r="D39" s="670"/>
      <c r="E39" s="674"/>
    </row>
    <row r="40" spans="1:13" ht="12.75" customHeight="1" x14ac:dyDescent="0.2">
      <c r="A40" s="283"/>
      <c r="B40" s="1299" t="s">
        <v>1387</v>
      </c>
      <c r="C40" s="670">
        <v>503.1268</v>
      </c>
      <c r="D40" s="392"/>
    </row>
    <row r="41" spans="1:13" ht="12.75" customHeight="1" x14ac:dyDescent="0.2">
      <c r="A41" s="283"/>
      <c r="B41" s="1299" t="s">
        <v>1388</v>
      </c>
      <c r="C41" s="670">
        <v>830.98228999999992</v>
      </c>
      <c r="D41" s="392"/>
    </row>
    <row r="42" spans="1:13" ht="12.75" customHeight="1" x14ac:dyDescent="0.2">
      <c r="A42" s="283"/>
      <c r="B42" s="1299" t="s">
        <v>1389</v>
      </c>
      <c r="C42" s="670">
        <v>50250.003700000001</v>
      </c>
    </row>
    <row r="43" spans="1:13" ht="12.75" customHeight="1" x14ac:dyDescent="0.2">
      <c r="A43" s="283"/>
      <c r="B43" s="1182"/>
      <c r="C43" s="1183"/>
    </row>
    <row r="44" spans="1:13" ht="12.75" customHeight="1" x14ac:dyDescent="0.2">
      <c r="A44" s="283"/>
      <c r="B44" s="1055"/>
      <c r="C44" s="1056"/>
    </row>
    <row r="45" spans="1:13" x14ac:dyDescent="0.2">
      <c r="A45" s="283"/>
      <c r="B45" s="836" t="s">
        <v>1109</v>
      </c>
      <c r="C45" s="1185">
        <f>SUM(C46:C47)</f>
        <v>2109.1478400000001</v>
      </c>
      <c r="D45" s="392"/>
    </row>
    <row r="46" spans="1:13" ht="12.75" customHeight="1" x14ac:dyDescent="0.2">
      <c r="A46" s="283"/>
      <c r="B46" s="1299" t="s">
        <v>1390</v>
      </c>
      <c r="C46" s="670">
        <v>2082.6660200000001</v>
      </c>
      <c r="D46" s="1180"/>
      <c r="E46" s="285"/>
      <c r="F46" s="285"/>
      <c r="G46" s="285"/>
      <c r="H46" s="285"/>
      <c r="I46" s="285"/>
      <c r="J46" s="285"/>
      <c r="K46" s="285"/>
      <c r="L46" s="285"/>
      <c r="M46" s="285"/>
    </row>
    <row r="47" spans="1:13" ht="12.75" customHeight="1" x14ac:dyDescent="0.2">
      <c r="B47" s="1299" t="s">
        <v>1391</v>
      </c>
      <c r="C47" s="670">
        <v>26.481819999999999</v>
      </c>
    </row>
    <row r="48" spans="1:13" ht="12.75" customHeight="1" x14ac:dyDescent="0.2"/>
    <row r="49" ht="12.75" customHeight="1" x14ac:dyDescent="0.2"/>
    <row r="50" ht="12.75" customHeight="1" x14ac:dyDescent="0.2"/>
    <row r="51" ht="12.75" customHeight="1" x14ac:dyDescent="0.2"/>
    <row r="52" ht="12.75" customHeight="1" x14ac:dyDescent="0.2"/>
    <row r="53" ht="12.75" customHeight="1" x14ac:dyDescent="0.2"/>
  </sheetData>
  <sheetProtection insertRows="0" deleteRows="0"/>
  <mergeCells count="5">
    <mergeCell ref="A4:B4"/>
    <mergeCell ref="A5:A15"/>
    <mergeCell ref="A16:A26"/>
    <mergeCell ref="A27:B27"/>
    <mergeCell ref="B38:C38"/>
  </mergeCells>
  <printOptions horizontalCentered="1"/>
  <pageMargins left="0.24" right="0.24" top="0.71" bottom="0.72" header="0.51181102362204722" footer="0.51181102362204722"/>
  <pageSetup paperSize="9" scale="85"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D19"/>
  <sheetViews>
    <sheetView zoomScaleNormal="100" workbookViewId="0">
      <selection activeCell="B151" sqref="B151"/>
    </sheetView>
  </sheetViews>
  <sheetFormatPr defaultColWidth="9.140625" defaultRowHeight="12.75" x14ac:dyDescent="0.25"/>
  <cols>
    <col min="1" max="1" width="13.28515625" style="8" customWidth="1"/>
    <col min="2" max="2" width="54.7109375" style="8" customWidth="1"/>
    <col min="3" max="3" width="14.28515625" style="121" customWidth="1"/>
    <col min="4" max="4" width="13.28515625" style="8" customWidth="1"/>
    <col min="5" max="12" width="9.140625" style="8"/>
    <col min="13" max="13" width="11.28515625" style="8" customWidth="1"/>
    <col min="14" max="16384" width="9.140625" style="8"/>
  </cols>
  <sheetData>
    <row r="1" spans="1:4" ht="18.75" x14ac:dyDescent="0.25">
      <c r="A1" s="105" t="s">
        <v>884</v>
      </c>
      <c r="C1" s="8"/>
    </row>
    <row r="2" spans="1:4" ht="13.5" customHeight="1" x14ac:dyDescent="0.25">
      <c r="A2" s="105"/>
      <c r="C2" s="8"/>
    </row>
    <row r="3" spans="1:4" ht="13.5" thickBot="1" x14ac:dyDescent="0.3">
      <c r="C3" s="1194" t="s">
        <v>623</v>
      </c>
    </row>
    <row r="4" spans="1:4" ht="13.5" thickBot="1" x14ac:dyDescent="0.3">
      <c r="A4" s="1662" t="s">
        <v>372</v>
      </c>
      <c r="B4" s="1663"/>
      <c r="C4" s="573">
        <v>239990.56062</v>
      </c>
    </row>
    <row r="5" spans="1:4" ht="12.75" customHeight="1" x14ac:dyDescent="0.25">
      <c r="A5" s="1672" t="s">
        <v>374</v>
      </c>
      <c r="B5" s="287" t="s">
        <v>885</v>
      </c>
      <c r="C5" s="288">
        <v>145765.57200999997</v>
      </c>
      <c r="D5" s="289"/>
    </row>
    <row r="6" spans="1:4" ht="12.75" customHeight="1" x14ac:dyDescent="0.25">
      <c r="A6" s="1673"/>
      <c r="B6" s="290" t="s">
        <v>395</v>
      </c>
      <c r="C6" s="288">
        <v>8207.8889999999992</v>
      </c>
      <c r="D6" s="289"/>
    </row>
    <row r="7" spans="1:4" ht="12.75" customHeight="1" thickBot="1" x14ac:dyDescent="0.3">
      <c r="A7" s="1673"/>
      <c r="B7" s="287" t="s">
        <v>514</v>
      </c>
      <c r="C7" s="291">
        <v>0</v>
      </c>
      <c r="D7" s="289"/>
    </row>
    <row r="8" spans="1:4" ht="16.7" customHeight="1" thickBot="1" x14ac:dyDescent="0.3">
      <c r="A8" s="1674"/>
      <c r="B8" s="578" t="s">
        <v>359</v>
      </c>
      <c r="C8" s="579">
        <v>153973.46100999997</v>
      </c>
      <c r="D8" s="289"/>
    </row>
    <row r="9" spans="1:4" ht="16.7" customHeight="1" thickBot="1" x14ac:dyDescent="0.3">
      <c r="A9" s="286" t="s">
        <v>378</v>
      </c>
      <c r="B9" s="580" t="s">
        <v>359</v>
      </c>
      <c r="C9" s="581">
        <v>127868.47798</v>
      </c>
      <c r="D9" s="289"/>
    </row>
    <row r="10" spans="1:4" ht="16.7" customHeight="1" thickBot="1" x14ac:dyDescent="0.3">
      <c r="A10" s="1675" t="s">
        <v>396</v>
      </c>
      <c r="B10" s="1676"/>
      <c r="C10" s="582">
        <v>266095.54365000001</v>
      </c>
      <c r="D10" s="289"/>
    </row>
    <row r="11" spans="1:4" ht="15" customHeight="1" x14ac:dyDescent="0.25">
      <c r="A11" s="292"/>
      <c r="B11" s="293"/>
      <c r="C11" s="294"/>
      <c r="D11" s="289"/>
    </row>
    <row r="12" spans="1:4" x14ac:dyDescent="0.25">
      <c r="A12" s="8" t="s">
        <v>467</v>
      </c>
      <c r="B12" s="293"/>
      <c r="C12" s="295"/>
      <c r="D12" s="293"/>
    </row>
    <row r="13" spans="1:4" x14ac:dyDescent="0.25">
      <c r="A13" s="8" t="s">
        <v>1090</v>
      </c>
      <c r="B13" s="293"/>
      <c r="C13" s="296"/>
      <c r="D13" s="293"/>
    </row>
    <row r="14" spans="1:4" x14ac:dyDescent="0.25">
      <c r="A14" s="8" t="s">
        <v>886</v>
      </c>
    </row>
    <row r="15" spans="1:4" x14ac:dyDescent="0.25">
      <c r="A15" s="297"/>
      <c r="B15" s="297"/>
      <c r="C15" s="298"/>
      <c r="D15" s="299"/>
    </row>
    <row r="16" spans="1:4" ht="14.25" customHeight="1" x14ac:dyDescent="0.25">
      <c r="A16" s="1124"/>
      <c r="B16" s="837"/>
      <c r="C16" s="837"/>
      <c r="D16" s="1097"/>
    </row>
    <row r="17" spans="1:4" ht="15" x14ac:dyDescent="0.25">
      <c r="A17" s="837"/>
      <c r="B17" s="837"/>
      <c r="C17" s="837"/>
      <c r="D17" s="300"/>
    </row>
    <row r="18" spans="1:4" x14ac:dyDescent="0.25">
      <c r="A18" s="301"/>
      <c r="B18" s="301"/>
      <c r="C18" s="302"/>
      <c r="D18" s="301"/>
    </row>
    <row r="19" spans="1:4" x14ac:dyDescent="0.25">
      <c r="A19" s="301"/>
      <c r="B19" s="301"/>
      <c r="C19" s="302"/>
      <c r="D19" s="301"/>
    </row>
  </sheetData>
  <sheetProtection insertRows="0"/>
  <mergeCells count="3">
    <mergeCell ref="A4:B4"/>
    <mergeCell ref="A5:A8"/>
    <mergeCell ref="A10:B10"/>
  </mergeCells>
  <printOptions horizontalCentered="1"/>
  <pageMargins left="0.78740157480314965" right="0.78740157480314965" top="0.98425196850393704" bottom="0.98425196850393704" header="0.51181102362204722" footer="0.51181102362204722"/>
  <pageSetup paperSize="9" orientation="landscape" cellComments="asDisplaye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F27"/>
  <sheetViews>
    <sheetView zoomScaleNormal="100" workbookViewId="0">
      <selection activeCell="B151" sqref="B151"/>
    </sheetView>
  </sheetViews>
  <sheetFormatPr defaultColWidth="9.140625" defaultRowHeight="12.75" x14ac:dyDescent="0.2"/>
  <cols>
    <col min="1" max="1" width="15.5703125" style="107" customWidth="1"/>
    <col min="2" max="2" width="32" style="107" customWidth="1"/>
    <col min="3" max="3" width="17.85546875" style="282" customWidth="1"/>
    <col min="4" max="4" width="13.28515625" style="283" customWidth="1"/>
    <col min="5" max="6" width="9.140625" style="283"/>
    <col min="7" max="12" width="9.140625" style="107"/>
    <col min="13" max="13" width="11.28515625" style="107" customWidth="1"/>
    <col min="14" max="16384" width="9.140625" style="107"/>
  </cols>
  <sheetData>
    <row r="1" spans="1:3" ht="18.75" x14ac:dyDescent="0.3">
      <c r="A1" s="264" t="s">
        <v>887</v>
      </c>
    </row>
    <row r="2" spans="1:3" ht="12" customHeight="1" x14ac:dyDescent="0.3">
      <c r="A2" s="264"/>
    </row>
    <row r="3" spans="1:3" ht="13.5" thickBot="1" x14ac:dyDescent="0.25">
      <c r="C3" s="1194" t="s">
        <v>623</v>
      </c>
    </row>
    <row r="4" spans="1:3" ht="13.5" thickBot="1" x14ac:dyDescent="0.25">
      <c r="A4" s="1662" t="s">
        <v>372</v>
      </c>
      <c r="B4" s="1663"/>
      <c r="C4" s="573">
        <v>39710.786650000002</v>
      </c>
    </row>
    <row r="5" spans="1:3" x14ac:dyDescent="0.2">
      <c r="A5" s="1492" t="s">
        <v>374</v>
      </c>
      <c r="B5" s="259" t="s">
        <v>880</v>
      </c>
      <c r="C5" s="260">
        <v>2902.4402399999999</v>
      </c>
    </row>
    <row r="6" spans="1:3" x14ac:dyDescent="0.2">
      <c r="A6" s="1664"/>
      <c r="B6" s="146" t="s">
        <v>397</v>
      </c>
      <c r="C6" s="261">
        <v>0</v>
      </c>
    </row>
    <row r="7" spans="1:3" x14ac:dyDescent="0.2">
      <c r="A7" s="1664"/>
      <c r="B7" s="146" t="s">
        <v>375</v>
      </c>
      <c r="C7" s="261">
        <v>0</v>
      </c>
    </row>
    <row r="8" spans="1:3" x14ac:dyDescent="0.2">
      <c r="A8" s="1664"/>
      <c r="B8" s="262" t="s">
        <v>377</v>
      </c>
      <c r="C8" s="263">
        <v>0</v>
      </c>
    </row>
    <row r="9" spans="1:3" ht="13.5" thickBot="1" x14ac:dyDescent="0.25">
      <c r="A9" s="1664"/>
      <c r="B9" s="262" t="s">
        <v>512</v>
      </c>
      <c r="C9" s="263">
        <v>0</v>
      </c>
    </row>
    <row r="10" spans="1:3" ht="13.5" thickBot="1" x14ac:dyDescent="0.25">
      <c r="A10" s="1493"/>
      <c r="B10" s="574" t="s">
        <v>359</v>
      </c>
      <c r="C10" s="575">
        <v>2902.4402399999999</v>
      </c>
    </row>
    <row r="11" spans="1:3" x14ac:dyDescent="0.2">
      <c r="A11" s="1677" t="s">
        <v>378</v>
      </c>
      <c r="B11" s="259" t="s">
        <v>1225</v>
      </c>
      <c r="C11" s="583">
        <v>798.94</v>
      </c>
    </row>
    <row r="12" spans="1:3" x14ac:dyDescent="0.2">
      <c r="A12" s="1664"/>
      <c r="B12" s="146" t="s">
        <v>398</v>
      </c>
      <c r="C12" s="261">
        <v>0</v>
      </c>
    </row>
    <row r="13" spans="1:3" x14ac:dyDescent="0.2">
      <c r="A13" s="1664"/>
      <c r="B13" s="146" t="s">
        <v>380</v>
      </c>
      <c r="C13" s="261">
        <v>0</v>
      </c>
    </row>
    <row r="14" spans="1:3" x14ac:dyDescent="0.2">
      <c r="A14" s="1664"/>
      <c r="B14" s="146" t="s">
        <v>382</v>
      </c>
      <c r="C14" s="261">
        <v>0</v>
      </c>
    </row>
    <row r="15" spans="1:3" ht="13.5" thickBot="1" x14ac:dyDescent="0.25">
      <c r="A15" s="1664"/>
      <c r="B15" s="146" t="s">
        <v>513</v>
      </c>
      <c r="C15" s="261">
        <v>0</v>
      </c>
    </row>
    <row r="16" spans="1:3" ht="13.5" thickBot="1" x14ac:dyDescent="0.25">
      <c r="A16" s="1493"/>
      <c r="B16" s="574" t="s">
        <v>359</v>
      </c>
      <c r="C16" s="575">
        <v>798.94</v>
      </c>
    </row>
    <row r="17" spans="1:3" ht="13.5" thickBot="1" x14ac:dyDescent="0.25">
      <c r="A17" s="1662" t="s">
        <v>373</v>
      </c>
      <c r="B17" s="1663"/>
      <c r="C17" s="575">
        <v>41814.286890000003</v>
      </c>
    </row>
    <row r="18" spans="1:3" x14ac:dyDescent="0.2">
      <c r="B18" s="8"/>
    </row>
    <row r="19" spans="1:3" x14ac:dyDescent="0.2">
      <c r="A19" s="8" t="s">
        <v>467</v>
      </c>
    </row>
    <row r="20" spans="1:3" x14ac:dyDescent="0.2">
      <c r="A20" s="8" t="s">
        <v>881</v>
      </c>
    </row>
    <row r="21" spans="1:3" s="283" customFormat="1" x14ac:dyDescent="0.2">
      <c r="C21" s="284"/>
    </row>
    <row r="22" spans="1:3" s="283" customFormat="1" x14ac:dyDescent="0.2">
      <c r="C22" s="284"/>
    </row>
    <row r="23" spans="1:3" s="283" customFormat="1" x14ac:dyDescent="0.2">
      <c r="C23" s="284"/>
    </row>
    <row r="24" spans="1:3" s="283" customFormat="1" x14ac:dyDescent="0.2">
      <c r="C24" s="284"/>
    </row>
    <row r="25" spans="1:3" s="283" customFormat="1" x14ac:dyDescent="0.2">
      <c r="C25" s="284"/>
    </row>
    <row r="26" spans="1:3" s="283" customFormat="1" x14ac:dyDescent="0.2">
      <c r="C26" s="284"/>
    </row>
    <row r="27" spans="1:3" s="283" customFormat="1" x14ac:dyDescent="0.2">
      <c r="C27" s="284"/>
    </row>
  </sheetData>
  <mergeCells count="4">
    <mergeCell ref="A4:B4"/>
    <mergeCell ref="A5:A10"/>
    <mergeCell ref="A11:A16"/>
    <mergeCell ref="A17:B17"/>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A1:H29"/>
  <sheetViews>
    <sheetView zoomScaleNormal="100" workbookViewId="0">
      <selection activeCell="B151" sqref="B151"/>
    </sheetView>
  </sheetViews>
  <sheetFormatPr defaultColWidth="9.140625" defaultRowHeight="12.75" x14ac:dyDescent="0.25"/>
  <cols>
    <col min="1" max="1" width="13.5703125" style="8" customWidth="1"/>
    <col min="2" max="2" width="6.85546875" style="8" customWidth="1"/>
    <col min="3" max="3" width="66.85546875" style="8" customWidth="1"/>
    <col min="4" max="4" width="13.28515625" style="121" customWidth="1"/>
    <col min="5" max="5" width="10.85546875" style="121" customWidth="1"/>
    <col min="6" max="6" width="11.7109375" style="121" customWidth="1"/>
    <col min="7" max="7" width="17.5703125" style="8" customWidth="1"/>
    <col min="8" max="12" width="9.140625" style="8"/>
    <col min="13" max="13" width="11.28515625" style="8" customWidth="1"/>
    <col min="14" max="16384" width="9.140625" style="8"/>
  </cols>
  <sheetData>
    <row r="1" spans="1:8" ht="18.75" x14ac:dyDescent="0.25">
      <c r="A1" s="105" t="s">
        <v>888</v>
      </c>
    </row>
    <row r="2" spans="1:8" ht="12" customHeight="1" x14ac:dyDescent="0.25">
      <c r="A2" s="105"/>
    </row>
    <row r="3" spans="1:8" ht="13.5" thickBot="1" x14ac:dyDescent="0.3">
      <c r="F3" s="1194" t="s">
        <v>623</v>
      </c>
    </row>
    <row r="4" spans="1:8" s="9" customFormat="1" ht="17.25" customHeight="1" thickBot="1" x14ac:dyDescent="0.3">
      <c r="A4" s="303"/>
      <c r="B4" s="304"/>
      <c r="C4" s="305" t="s">
        <v>365</v>
      </c>
      <c r="D4" s="306" t="s">
        <v>399</v>
      </c>
      <c r="E4" s="306" t="s">
        <v>1212</v>
      </c>
      <c r="F4" s="307" t="s">
        <v>360</v>
      </c>
    </row>
    <row r="5" spans="1:8" ht="12.75" customHeight="1" x14ac:dyDescent="0.2">
      <c r="A5" s="1678" t="s">
        <v>372</v>
      </c>
      <c r="B5" s="308" t="s">
        <v>1034</v>
      </c>
      <c r="C5" s="308"/>
      <c r="D5" s="309">
        <v>38630.602630000009</v>
      </c>
      <c r="E5" s="309">
        <v>0</v>
      </c>
      <c r="F5" s="310">
        <v>38630.602630000009</v>
      </c>
      <c r="H5" s="107"/>
    </row>
    <row r="6" spans="1:8" ht="12.75" customHeight="1" x14ac:dyDescent="0.2">
      <c r="A6" s="1678"/>
      <c r="B6" s="146" t="s">
        <v>1035</v>
      </c>
      <c r="C6" s="146"/>
      <c r="D6" s="153">
        <v>49097.241049999997</v>
      </c>
      <c r="E6" s="153">
        <v>0</v>
      </c>
      <c r="F6" s="310">
        <v>49097.241049999997</v>
      </c>
      <c r="G6" s="293"/>
      <c r="H6" s="107"/>
    </row>
    <row r="7" spans="1:8" ht="12.75" customHeight="1" x14ac:dyDescent="0.2">
      <c r="A7" s="1678"/>
      <c r="B7" s="146" t="s">
        <v>1036</v>
      </c>
      <c r="C7" s="146"/>
      <c r="D7" s="312">
        <v>131957.94410999998</v>
      </c>
      <c r="E7" s="153">
        <v>6787.2743399999999</v>
      </c>
      <c r="F7" s="310">
        <v>138745.21844999999</v>
      </c>
      <c r="G7" s="293"/>
      <c r="H7" s="107"/>
    </row>
    <row r="8" spans="1:8" ht="12.75" customHeight="1" thickBot="1" x14ac:dyDescent="0.3">
      <c r="A8" s="1678"/>
      <c r="B8" s="262" t="s">
        <v>1037</v>
      </c>
      <c r="C8" s="314"/>
      <c r="D8" s="315">
        <v>63287.024369999999</v>
      </c>
      <c r="E8" s="159">
        <v>1268.7418</v>
      </c>
      <c r="F8" s="310">
        <v>64555.766170000003</v>
      </c>
      <c r="G8" s="293"/>
    </row>
    <row r="9" spans="1:8" ht="15.75" thickBot="1" x14ac:dyDescent="0.3">
      <c r="A9" s="1679"/>
      <c r="B9" s="1680" t="s">
        <v>360</v>
      </c>
      <c r="C9" s="1681"/>
      <c r="D9" s="584">
        <v>282972.81215999997</v>
      </c>
      <c r="E9" s="584">
        <v>8056.0161399999997</v>
      </c>
      <c r="F9" s="575">
        <v>291028.82829999999</v>
      </c>
      <c r="G9" s="293"/>
    </row>
    <row r="10" spans="1:8" x14ac:dyDescent="0.25">
      <c r="A10" s="1615" t="s">
        <v>400</v>
      </c>
      <c r="B10" s="308" t="s">
        <v>1034</v>
      </c>
      <c r="C10" s="316"/>
      <c r="D10" s="364">
        <v>33720.907650000001</v>
      </c>
      <c r="E10" s="317">
        <v>0</v>
      </c>
      <c r="F10" s="318">
        <v>33720.907650000001</v>
      </c>
    </row>
    <row r="11" spans="1:8" x14ac:dyDescent="0.25">
      <c r="A11" s="1616"/>
      <c r="B11" s="146" t="s">
        <v>1035</v>
      </c>
      <c r="C11" s="319"/>
      <c r="D11" s="309">
        <v>42925.330559999995</v>
      </c>
      <c r="E11" s="153">
        <v>0</v>
      </c>
      <c r="F11" s="320">
        <v>42925.330559999995</v>
      </c>
    </row>
    <row r="12" spans="1:8" x14ac:dyDescent="0.25">
      <c r="A12" s="1616"/>
      <c r="B12" s="146" t="s">
        <v>1036</v>
      </c>
      <c r="C12" s="319"/>
      <c r="D12" s="309">
        <v>97309.248380000005</v>
      </c>
      <c r="E12" s="153">
        <v>510845.35973000003</v>
      </c>
      <c r="F12" s="320">
        <v>608154.60811000003</v>
      </c>
    </row>
    <row r="13" spans="1:8" ht="13.5" thickBot="1" x14ac:dyDescent="0.3">
      <c r="A13" s="1616"/>
      <c r="B13" s="262" t="s">
        <v>1037</v>
      </c>
      <c r="C13" s="319"/>
      <c r="D13" s="153">
        <v>34571.034169999999</v>
      </c>
      <c r="E13" s="153">
        <v>369.45759999999996</v>
      </c>
      <c r="F13" s="320">
        <v>34940.491770000001</v>
      </c>
      <c r="H13" s="108"/>
    </row>
    <row r="14" spans="1:8" ht="15.75" thickBot="1" x14ac:dyDescent="0.3">
      <c r="A14" s="1617"/>
      <c r="B14" s="1680" t="s">
        <v>359</v>
      </c>
      <c r="C14" s="1681"/>
      <c r="D14" s="585">
        <v>208526.52075999998</v>
      </c>
      <c r="E14" s="585">
        <v>511214.81733000005</v>
      </c>
      <c r="F14" s="575">
        <v>719741.33808999998</v>
      </c>
      <c r="H14" s="390"/>
    </row>
    <row r="15" spans="1:8" x14ac:dyDescent="0.25">
      <c r="A15" s="1615" t="s">
        <v>401</v>
      </c>
      <c r="B15" s="308" t="s">
        <v>1034</v>
      </c>
      <c r="C15" s="201"/>
      <c r="D15" s="309">
        <v>23162.345529999995</v>
      </c>
      <c r="E15" s="309">
        <v>0</v>
      </c>
      <c r="F15" s="320">
        <v>23162.345529999995</v>
      </c>
    </row>
    <row r="16" spans="1:8" x14ac:dyDescent="0.25">
      <c r="A16" s="1616"/>
      <c r="B16" s="146" t="s">
        <v>1035</v>
      </c>
      <c r="C16" s="319"/>
      <c r="D16" s="309">
        <v>52638.12294999999</v>
      </c>
      <c r="E16" s="153">
        <v>0</v>
      </c>
      <c r="F16" s="320">
        <v>52638.12294999999</v>
      </c>
    </row>
    <row r="17" spans="1:8" x14ac:dyDescent="0.25">
      <c r="A17" s="1616"/>
      <c r="B17" s="146" t="s">
        <v>1036</v>
      </c>
      <c r="C17" s="319"/>
      <c r="D17" s="309">
        <v>119215.64719999999</v>
      </c>
      <c r="E17" s="153">
        <v>7041.0851700000003</v>
      </c>
      <c r="F17" s="320">
        <v>126256.73237</v>
      </c>
    </row>
    <row r="18" spans="1:8" ht="13.5" thickBot="1" x14ac:dyDescent="0.3">
      <c r="A18" s="1616"/>
      <c r="B18" s="262" t="s">
        <v>1037</v>
      </c>
      <c r="C18" s="319"/>
      <c r="D18" s="153">
        <v>46332.300229999993</v>
      </c>
      <c r="E18" s="153">
        <v>1198.5544</v>
      </c>
      <c r="F18" s="320">
        <v>47530.854629999994</v>
      </c>
    </row>
    <row r="19" spans="1:8" ht="15.75" thickBot="1" x14ac:dyDescent="0.3">
      <c r="A19" s="1617"/>
      <c r="B19" s="1680" t="s">
        <v>360</v>
      </c>
      <c r="C19" s="1681"/>
      <c r="D19" s="585">
        <v>241348.41590999998</v>
      </c>
      <c r="E19" s="585">
        <v>8239.6395699999994</v>
      </c>
      <c r="F19" s="575">
        <v>249588.05547999998</v>
      </c>
      <c r="H19" s="390"/>
    </row>
    <row r="20" spans="1:8" x14ac:dyDescent="0.25">
      <c r="A20" s="1678" t="s">
        <v>373</v>
      </c>
      <c r="B20" s="308" t="s">
        <v>1034</v>
      </c>
      <c r="C20" s="308"/>
      <c r="D20" s="321">
        <v>49189.164749999996</v>
      </c>
      <c r="E20" s="321">
        <v>0</v>
      </c>
      <c r="F20" s="310">
        <v>49189.164749999996</v>
      </c>
      <c r="G20" s="114"/>
    </row>
    <row r="21" spans="1:8" x14ac:dyDescent="0.25">
      <c r="A21" s="1678"/>
      <c r="B21" s="146" t="s">
        <v>1035</v>
      </c>
      <c r="C21" s="146"/>
      <c r="D21" s="321">
        <v>39384.448539999998</v>
      </c>
      <c r="E21" s="321">
        <v>0</v>
      </c>
      <c r="F21" s="311">
        <v>39384.448539999998</v>
      </c>
      <c r="G21" s="114"/>
    </row>
    <row r="22" spans="1:8" x14ac:dyDescent="0.25">
      <c r="A22" s="1678"/>
      <c r="B22" s="146" t="s">
        <v>1036</v>
      </c>
      <c r="C22" s="146"/>
      <c r="D22" s="321">
        <v>109528.45089000001</v>
      </c>
      <c r="E22" s="321">
        <v>511114.44330000004</v>
      </c>
      <c r="F22" s="313">
        <v>620642.89419000002</v>
      </c>
      <c r="G22" s="114"/>
    </row>
    <row r="23" spans="1:8" ht="13.5" thickBot="1" x14ac:dyDescent="0.3">
      <c r="A23" s="1678"/>
      <c r="B23" s="262" t="s">
        <v>1037</v>
      </c>
      <c r="C23" s="146"/>
      <c r="D23" s="321">
        <v>51525.958289999995</v>
      </c>
      <c r="E23" s="321">
        <v>439.64499999999998</v>
      </c>
      <c r="F23" s="313">
        <v>51965.603289999992</v>
      </c>
      <c r="G23" s="114"/>
    </row>
    <row r="24" spans="1:8" ht="15.75" thickBot="1" x14ac:dyDescent="0.3">
      <c r="A24" s="1679"/>
      <c r="B24" s="1680" t="s">
        <v>360</v>
      </c>
      <c r="C24" s="1681"/>
      <c r="D24" s="584">
        <v>249628.02246999997</v>
      </c>
      <c r="E24" s="584">
        <v>511554.08830000006</v>
      </c>
      <c r="F24" s="575">
        <v>761182.11077000003</v>
      </c>
    </row>
    <row r="25" spans="1:8" x14ac:dyDescent="0.25">
      <c r="D25" s="240"/>
      <c r="E25" s="240"/>
      <c r="F25" s="240"/>
    </row>
    <row r="26" spans="1:8" x14ac:dyDescent="0.25">
      <c r="D26" s="322"/>
      <c r="E26" s="240"/>
      <c r="F26" s="240"/>
    </row>
    <row r="27" spans="1:8" x14ac:dyDescent="0.25">
      <c r="B27" s="106"/>
    </row>
    <row r="28" spans="1:8" x14ac:dyDescent="0.25">
      <c r="A28" s="803"/>
    </row>
    <row r="29" spans="1:8" x14ac:dyDescent="0.2">
      <c r="A29" s="107"/>
    </row>
  </sheetData>
  <sheetProtection insertRows="0" deleteRows="0"/>
  <mergeCells count="8">
    <mergeCell ref="A5:A9"/>
    <mergeCell ref="A10:A14"/>
    <mergeCell ref="A15:A19"/>
    <mergeCell ref="A20:A24"/>
    <mergeCell ref="B9:C9"/>
    <mergeCell ref="B14:C14"/>
    <mergeCell ref="B19:C19"/>
    <mergeCell ref="B24:C24"/>
  </mergeCells>
  <printOptions horizontalCentered="1"/>
  <pageMargins left="0.2" right="0.2" top="0.98425196850393704" bottom="0.98425196850393704" header="0.51181102362204722" footer="0.51181102362204722"/>
  <pageSetup paperSize="9" orientation="landscape" cellComments="asDisplaye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F23"/>
  <sheetViews>
    <sheetView zoomScaleNormal="100" workbookViewId="0">
      <selection activeCell="B151" sqref="B151"/>
    </sheetView>
  </sheetViews>
  <sheetFormatPr defaultColWidth="9.140625" defaultRowHeight="12.75" x14ac:dyDescent="0.2"/>
  <cols>
    <col min="1" max="1" width="12.85546875" style="107" customWidth="1"/>
    <col min="2" max="2" width="58.140625" style="107" customWidth="1"/>
    <col min="3" max="3" width="10.42578125" style="282" customWidth="1"/>
    <col min="4" max="4" width="13.28515625" style="107" customWidth="1"/>
    <col min="5" max="12" width="9.140625" style="107"/>
    <col min="13" max="13" width="11.28515625" style="107" customWidth="1"/>
    <col min="14" max="16384" width="9.140625" style="107"/>
  </cols>
  <sheetData>
    <row r="1" spans="1:6" ht="18.75" x14ac:dyDescent="0.3">
      <c r="A1" s="264" t="s">
        <v>889</v>
      </c>
    </row>
    <row r="2" spans="1:6" ht="12.75" customHeight="1" x14ac:dyDescent="0.3">
      <c r="A2" s="264"/>
    </row>
    <row r="3" spans="1:6" ht="13.5" thickBot="1" x14ac:dyDescent="0.25">
      <c r="C3" s="1194" t="s">
        <v>623</v>
      </c>
    </row>
    <row r="4" spans="1:6" ht="13.5" thickBot="1" x14ac:dyDescent="0.25">
      <c r="A4" s="1662" t="s">
        <v>372</v>
      </c>
      <c r="B4" s="1663"/>
      <c r="C4" s="573">
        <v>173847.23072000002</v>
      </c>
    </row>
    <row r="5" spans="1:6" ht="13.5" thickBot="1" x14ac:dyDescent="0.25">
      <c r="A5" s="265" t="s">
        <v>374</v>
      </c>
      <c r="B5" s="323" t="s">
        <v>402</v>
      </c>
      <c r="C5" s="260">
        <v>63063.229579999992</v>
      </c>
      <c r="D5" s="324"/>
      <c r="E5" s="325"/>
    </row>
    <row r="6" spans="1:6" x14ac:dyDescent="0.2">
      <c r="A6" s="1550" t="s">
        <v>378</v>
      </c>
      <c r="B6" s="323" t="s">
        <v>890</v>
      </c>
      <c r="C6" s="267">
        <v>56308.76</v>
      </c>
    </row>
    <row r="7" spans="1:6" x14ac:dyDescent="0.2">
      <c r="A7" s="1682"/>
      <c r="B7" s="115" t="s">
        <v>891</v>
      </c>
      <c r="C7" s="261">
        <v>3191.4139999999998</v>
      </c>
    </row>
    <row r="8" spans="1:6" x14ac:dyDescent="0.2">
      <c r="A8" s="1682"/>
      <c r="B8" s="115" t="s">
        <v>1370</v>
      </c>
      <c r="C8" s="261">
        <v>3691.8649999999998</v>
      </c>
    </row>
    <row r="9" spans="1:6" x14ac:dyDescent="0.2">
      <c r="A9" s="1682"/>
      <c r="B9" s="115" t="s">
        <v>892</v>
      </c>
      <c r="C9" s="261">
        <v>333.8</v>
      </c>
    </row>
    <row r="10" spans="1:6" x14ac:dyDescent="0.2">
      <c r="A10" s="1682"/>
      <c r="B10" s="115" t="s">
        <v>1371</v>
      </c>
      <c r="C10" s="261">
        <v>468.52699999999999</v>
      </c>
    </row>
    <row r="11" spans="1:6" x14ac:dyDescent="0.2">
      <c r="A11" s="1666"/>
      <c r="B11" s="115" t="s">
        <v>1372</v>
      </c>
      <c r="C11" s="261">
        <v>763.54534999999998</v>
      </c>
      <c r="D11" s="326"/>
      <c r="E11" s="326"/>
      <c r="F11" s="327"/>
    </row>
    <row r="12" spans="1:6" x14ac:dyDescent="0.2">
      <c r="A12" s="1666"/>
      <c r="B12" s="115" t="s">
        <v>1373</v>
      </c>
      <c r="C12" s="261">
        <v>15015.0034</v>
      </c>
      <c r="D12" s="327"/>
      <c r="E12" s="326"/>
      <c r="F12" s="327"/>
    </row>
    <row r="13" spans="1:6" x14ac:dyDescent="0.2">
      <c r="A13" s="1666"/>
      <c r="B13" s="115" t="s">
        <v>893</v>
      </c>
      <c r="C13" s="261">
        <v>2158.46</v>
      </c>
      <c r="D13" s="327"/>
      <c r="E13" s="326"/>
      <c r="F13" s="327"/>
    </row>
    <row r="14" spans="1:6" x14ac:dyDescent="0.2">
      <c r="A14" s="1666"/>
      <c r="B14" s="115" t="s">
        <v>894</v>
      </c>
      <c r="C14" s="261">
        <v>864.05999999999983</v>
      </c>
      <c r="D14" s="327"/>
      <c r="E14" s="326"/>
      <c r="F14" s="327"/>
    </row>
    <row r="15" spans="1:6" ht="13.5" thickBot="1" x14ac:dyDescent="0.25">
      <c r="A15" s="1666"/>
      <c r="B15" s="115" t="s">
        <v>895</v>
      </c>
      <c r="C15" s="261">
        <v>751.77364999999998</v>
      </c>
      <c r="D15" s="493"/>
      <c r="E15" s="327"/>
      <c r="F15" s="327"/>
    </row>
    <row r="16" spans="1:6" ht="13.5" thickBot="1" x14ac:dyDescent="0.25">
      <c r="A16" s="1667"/>
      <c r="B16" s="587" t="s">
        <v>359</v>
      </c>
      <c r="C16" s="575">
        <v>83547.208400000003</v>
      </c>
      <c r="D16" s="328"/>
      <c r="E16" s="328"/>
      <c r="F16" s="328"/>
    </row>
    <row r="17" spans="1:3" ht="13.5" thickBot="1" x14ac:dyDescent="0.25">
      <c r="A17" s="1662" t="s">
        <v>373</v>
      </c>
      <c r="B17" s="1663"/>
      <c r="C17" s="586">
        <v>153363.2519</v>
      </c>
    </row>
    <row r="18" spans="1:3" x14ac:dyDescent="0.2">
      <c r="C18" s="670"/>
    </row>
    <row r="19" spans="1:3" x14ac:dyDescent="0.2">
      <c r="A19" s="283"/>
      <c r="B19" s="283"/>
      <c r="C19" s="494"/>
    </row>
    <row r="20" spans="1:3" x14ac:dyDescent="0.2">
      <c r="A20" s="329"/>
      <c r="B20" s="283"/>
      <c r="C20" s="284"/>
    </row>
    <row r="21" spans="1:3" x14ac:dyDescent="0.2">
      <c r="A21" s="283"/>
      <c r="B21" s="283"/>
      <c r="C21" s="284"/>
    </row>
    <row r="22" spans="1:3" x14ac:dyDescent="0.2">
      <c r="A22" s="330"/>
      <c r="B22" s="283"/>
      <c r="C22" s="284"/>
    </row>
    <row r="23" spans="1:3" x14ac:dyDescent="0.2">
      <c r="A23" s="331"/>
      <c r="B23" s="283"/>
      <c r="C23" s="284"/>
    </row>
  </sheetData>
  <sheetProtection insertRows="0" deleteRows="0"/>
  <mergeCells count="3">
    <mergeCell ref="A4:B4"/>
    <mergeCell ref="A6:A16"/>
    <mergeCell ref="A17:B17"/>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G47"/>
  <sheetViews>
    <sheetView zoomScaleNormal="100" workbookViewId="0">
      <selection activeCell="B151" sqref="B151"/>
    </sheetView>
  </sheetViews>
  <sheetFormatPr defaultColWidth="9.140625" defaultRowHeight="12.75" x14ac:dyDescent="0.2"/>
  <cols>
    <col min="1" max="1" width="12.7109375" style="107" customWidth="1"/>
    <col min="2" max="2" width="44.85546875" style="107" customWidth="1"/>
    <col min="3" max="3" width="13.28515625" style="282" customWidth="1"/>
    <col min="4" max="4" width="13.28515625" style="107" customWidth="1"/>
    <col min="5" max="5" width="13.42578125" style="107" customWidth="1"/>
    <col min="6" max="6" width="11.5703125" style="107" customWidth="1"/>
    <col min="7" max="12" width="9.140625" style="107"/>
    <col min="13" max="13" width="11.28515625" style="107" customWidth="1"/>
    <col min="14" max="16384" width="9.140625" style="107"/>
  </cols>
  <sheetData>
    <row r="1" spans="1:7" ht="18.75" x14ac:dyDescent="0.3">
      <c r="A1" s="264" t="s">
        <v>896</v>
      </c>
    </row>
    <row r="2" spans="1:7" ht="11.25" customHeight="1" x14ac:dyDescent="0.3">
      <c r="A2" s="264"/>
    </row>
    <row r="3" spans="1:7" ht="13.5" thickBot="1" x14ac:dyDescent="0.25">
      <c r="C3" s="1194" t="s">
        <v>623</v>
      </c>
    </row>
    <row r="4" spans="1:7" ht="13.5" thickBot="1" x14ac:dyDescent="0.25">
      <c r="A4" s="1662" t="s">
        <v>372</v>
      </c>
      <c r="B4" s="1663"/>
      <c r="C4" s="573">
        <v>2700141.3906700001</v>
      </c>
      <c r="D4" s="325"/>
      <c r="F4" s="325"/>
    </row>
    <row r="5" spans="1:7" x14ac:dyDescent="0.2">
      <c r="A5" s="1683" t="s">
        <v>374</v>
      </c>
      <c r="B5" s="323" t="s">
        <v>403</v>
      </c>
      <c r="C5" s="260">
        <v>1077111.1880900001</v>
      </c>
      <c r="D5" s="325"/>
      <c r="F5" s="325"/>
    </row>
    <row r="6" spans="1:7" x14ac:dyDescent="0.2">
      <c r="A6" s="1684"/>
      <c r="B6" s="332" t="s">
        <v>880</v>
      </c>
      <c r="C6" s="261">
        <v>31919.123630000002</v>
      </c>
      <c r="D6" s="325"/>
      <c r="F6" s="325"/>
      <c r="G6" s="325"/>
    </row>
    <row r="7" spans="1:7" x14ac:dyDescent="0.2">
      <c r="A7" s="1684"/>
      <c r="B7" s="332" t="s">
        <v>375</v>
      </c>
      <c r="C7" s="261">
        <v>0</v>
      </c>
      <c r="D7" s="324"/>
      <c r="F7" s="325"/>
      <c r="G7" s="325"/>
    </row>
    <row r="8" spans="1:7" x14ac:dyDescent="0.2">
      <c r="A8" s="1684"/>
      <c r="B8" s="332" t="s">
        <v>376</v>
      </c>
      <c r="C8" s="261">
        <v>0</v>
      </c>
      <c r="D8" s="324"/>
      <c r="F8" s="324"/>
      <c r="G8" s="324"/>
    </row>
    <row r="9" spans="1:7" x14ac:dyDescent="0.2">
      <c r="A9" s="1684"/>
      <c r="B9" s="332" t="s">
        <v>397</v>
      </c>
      <c r="C9" s="261">
        <v>0</v>
      </c>
      <c r="D9" s="324"/>
      <c r="F9" s="324"/>
      <c r="G9" s="324"/>
    </row>
    <row r="10" spans="1:7" ht="13.9" customHeight="1" thickBot="1" x14ac:dyDescent="0.25">
      <c r="A10" s="1684"/>
      <c r="B10" s="385" t="s">
        <v>512</v>
      </c>
      <c r="C10" s="386">
        <v>17.49210999999741</v>
      </c>
      <c r="D10" s="324"/>
      <c r="F10" s="799"/>
      <c r="G10" s="325"/>
    </row>
    <row r="11" spans="1:7" ht="13.5" thickBot="1" x14ac:dyDescent="0.25">
      <c r="A11" s="1685"/>
      <c r="B11" s="588" t="s">
        <v>359</v>
      </c>
      <c r="C11" s="582">
        <v>1109047.7799800001</v>
      </c>
      <c r="G11" s="392"/>
    </row>
    <row r="12" spans="1:7" x14ac:dyDescent="0.2">
      <c r="A12" s="1550" t="s">
        <v>378</v>
      </c>
      <c r="B12" s="323" t="s">
        <v>404</v>
      </c>
      <c r="C12" s="260">
        <v>393180.10648000007</v>
      </c>
      <c r="D12" s="326"/>
      <c r="E12" s="326"/>
      <c r="F12" s="326"/>
      <c r="G12" s="327"/>
    </row>
    <row r="13" spans="1:7" x14ac:dyDescent="0.2">
      <c r="A13" s="1666"/>
      <c r="B13" s="332" t="s">
        <v>380</v>
      </c>
      <c r="C13" s="261">
        <v>331864.96650000004</v>
      </c>
      <c r="D13" s="327"/>
      <c r="E13" s="327"/>
      <c r="F13" s="326"/>
      <c r="G13" s="327"/>
    </row>
    <row r="14" spans="1:7" x14ac:dyDescent="0.2">
      <c r="A14" s="1666"/>
      <c r="B14" s="332" t="s">
        <v>381</v>
      </c>
      <c r="C14" s="261">
        <v>0</v>
      </c>
      <c r="D14" s="327"/>
      <c r="E14" s="327"/>
      <c r="F14" s="327"/>
      <c r="G14" s="327"/>
    </row>
    <row r="15" spans="1:7" x14ac:dyDescent="0.2">
      <c r="A15" s="1666"/>
      <c r="B15" s="332" t="s">
        <v>398</v>
      </c>
      <c r="C15" s="261">
        <v>0</v>
      </c>
      <c r="D15" s="328"/>
      <c r="E15" s="328"/>
      <c r="F15" s="328"/>
      <c r="G15" s="328"/>
    </row>
    <row r="16" spans="1:7" ht="13.5" thickBot="1" x14ac:dyDescent="0.25">
      <c r="A16" s="1666"/>
      <c r="B16" s="333" t="s">
        <v>513</v>
      </c>
      <c r="C16" s="263">
        <v>697.42750000000001</v>
      </c>
      <c r="D16" s="328"/>
      <c r="E16" s="328"/>
      <c r="F16" s="328"/>
      <c r="G16" s="328"/>
    </row>
    <row r="17" spans="1:7" ht="13.5" thickBot="1" x14ac:dyDescent="0.25">
      <c r="A17" s="1667"/>
      <c r="B17" s="588" t="s">
        <v>359</v>
      </c>
      <c r="C17" s="582">
        <v>725742.50048000016</v>
      </c>
    </row>
    <row r="18" spans="1:7" ht="13.5" thickBot="1" x14ac:dyDescent="0.25">
      <c r="A18" s="1662" t="s">
        <v>373</v>
      </c>
      <c r="B18" s="1663"/>
      <c r="C18" s="582">
        <v>3083446.6701699998</v>
      </c>
    </row>
    <row r="19" spans="1:7" x14ac:dyDescent="0.2">
      <c r="C19" s="670"/>
    </row>
    <row r="20" spans="1:7" x14ac:dyDescent="0.2">
      <c r="A20" s="8" t="s">
        <v>814</v>
      </c>
    </row>
    <row r="21" spans="1:7" x14ac:dyDescent="0.2">
      <c r="A21" s="8" t="s">
        <v>881</v>
      </c>
    </row>
    <row r="22" spans="1:7" x14ac:dyDescent="0.2">
      <c r="A22" s="801" t="s">
        <v>1061</v>
      </c>
      <c r="B22" s="282" t="s">
        <v>1374</v>
      </c>
      <c r="C22" s="670">
        <v>12.91011</v>
      </c>
      <c r="G22" s="804"/>
    </row>
    <row r="23" spans="1:7" x14ac:dyDescent="0.2">
      <c r="A23" s="801"/>
      <c r="B23" s="1300" t="s">
        <v>1375</v>
      </c>
      <c r="C23" s="1301">
        <v>4.5819999999999999</v>
      </c>
      <c r="G23" s="804"/>
    </row>
    <row r="24" spans="1:7" x14ac:dyDescent="0.2">
      <c r="A24" s="801"/>
      <c r="B24" s="107" t="s">
        <v>360</v>
      </c>
      <c r="C24" s="670">
        <v>17.49211</v>
      </c>
      <c r="E24" s="282"/>
      <c r="G24" s="804"/>
    </row>
    <row r="25" spans="1:7" x14ac:dyDescent="0.2">
      <c r="A25" s="1171"/>
      <c r="B25" s="671"/>
      <c r="C25" s="670"/>
      <c r="G25" s="804"/>
    </row>
    <row r="26" spans="1:7" x14ac:dyDescent="0.2">
      <c r="A26" s="801" t="s">
        <v>1060</v>
      </c>
      <c r="B26" s="282" t="s">
        <v>1376</v>
      </c>
      <c r="C26" s="670">
        <v>30</v>
      </c>
    </row>
    <row r="27" spans="1:7" ht="12.75" customHeight="1" x14ac:dyDescent="0.2">
      <c r="A27" s="1170"/>
      <c r="B27" s="282" t="s">
        <v>1377</v>
      </c>
      <c r="C27" s="670">
        <v>50</v>
      </c>
    </row>
    <row r="28" spans="1:7" ht="12.75" customHeight="1" x14ac:dyDescent="0.2">
      <c r="A28" s="800"/>
      <c r="B28" s="1300" t="s">
        <v>1378</v>
      </c>
      <c r="C28" s="1301">
        <v>617.42750000000001</v>
      </c>
    </row>
    <row r="29" spans="1:7" x14ac:dyDescent="0.2">
      <c r="A29" s="800"/>
      <c r="B29" s="107" t="s">
        <v>360</v>
      </c>
      <c r="C29" s="670">
        <v>697.42750000000001</v>
      </c>
    </row>
    <row r="30" spans="1:7" x14ac:dyDescent="0.2">
      <c r="A30" s="800"/>
      <c r="B30" s="285"/>
      <c r="C30" s="107"/>
    </row>
    <row r="31" spans="1:7" ht="12.75" customHeight="1" x14ac:dyDescent="0.2">
      <c r="A31" s="800"/>
      <c r="B31" s="802"/>
      <c r="C31" s="284"/>
    </row>
    <row r="32" spans="1:7" x14ac:dyDescent="0.2">
      <c r="C32" s="284"/>
    </row>
    <row r="33" spans="1:4" x14ac:dyDescent="0.2">
      <c r="C33" s="284"/>
    </row>
    <row r="34" spans="1:4" x14ac:dyDescent="0.2">
      <c r="C34" s="284"/>
    </row>
    <row r="35" spans="1:4" x14ac:dyDescent="0.2">
      <c r="C35" s="284"/>
    </row>
    <row r="36" spans="1:4" x14ac:dyDescent="0.2">
      <c r="C36" s="284"/>
    </row>
    <row r="37" spans="1:4" x14ac:dyDescent="0.2">
      <c r="A37" s="671"/>
      <c r="B37" s="671"/>
      <c r="C37" s="284"/>
    </row>
    <row r="38" spans="1:4" x14ac:dyDescent="0.2">
      <c r="A38" s="671"/>
      <c r="B38" s="671"/>
      <c r="C38" s="284"/>
    </row>
    <row r="39" spans="1:4" x14ac:dyDescent="0.2">
      <c r="A39" s="671"/>
      <c r="B39" s="671"/>
      <c r="C39" s="284"/>
    </row>
    <row r="40" spans="1:4" x14ac:dyDescent="0.2">
      <c r="A40" s="671"/>
      <c r="B40" s="671"/>
      <c r="C40" s="284"/>
    </row>
    <row r="41" spans="1:4" ht="12.75" customHeight="1" x14ac:dyDescent="0.2">
      <c r="A41" s="672"/>
      <c r="B41" s="784"/>
      <c r="C41" s="335"/>
      <c r="D41" s="335"/>
    </row>
    <row r="42" spans="1:4" ht="12.75" customHeight="1" x14ac:dyDescent="0.2">
      <c r="A42" s="334"/>
      <c r="B42" s="390"/>
      <c r="C42" s="335"/>
      <c r="D42" s="335"/>
    </row>
    <row r="43" spans="1:4" ht="12.75" customHeight="1" x14ac:dyDescent="0.2">
      <c r="A43" s="334"/>
      <c r="B43" s="390"/>
      <c r="C43" s="335"/>
      <c r="D43" s="335"/>
    </row>
    <row r="44" spans="1:4" ht="12.75" customHeight="1" x14ac:dyDescent="0.2">
      <c r="A44" s="334"/>
      <c r="B44" s="390"/>
      <c r="C44" s="335"/>
      <c r="D44" s="335"/>
    </row>
    <row r="45" spans="1:4" x14ac:dyDescent="0.2">
      <c r="B45" s="1686"/>
      <c r="C45" s="1687"/>
    </row>
    <row r="46" spans="1:4" ht="15" x14ac:dyDescent="0.25">
      <c r="B46" s="391"/>
      <c r="C46"/>
    </row>
    <row r="47" spans="1:4" ht="15" x14ac:dyDescent="0.25">
      <c r="B47" s="391"/>
      <c r="C47"/>
    </row>
  </sheetData>
  <sheetProtection insertRows="0" deleteRows="0"/>
  <mergeCells count="5">
    <mergeCell ref="A4:B4"/>
    <mergeCell ref="A5:A11"/>
    <mergeCell ref="A12:A17"/>
    <mergeCell ref="A18:B18"/>
    <mergeCell ref="B45:C45"/>
  </mergeCells>
  <printOptions horizontalCentered="1"/>
  <pageMargins left="0.78740157480314965" right="0.78740157480314965" top="0.59055118110236227" bottom="0.59055118110236227"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N39"/>
  <sheetViews>
    <sheetView workbookViewId="0">
      <pane xSplit="1" ySplit="5" topLeftCell="B12" activePane="bottomRight" state="frozen"/>
      <selection activeCell="D44" activeCellId="1" sqref="D46:E71 A7:O44"/>
      <selection pane="topRight" activeCell="D44" activeCellId="1" sqref="D46:E71 A7:O44"/>
      <selection pane="bottomLeft" activeCell="D44" activeCellId="1" sqref="D46:E71 A7:O44"/>
      <selection pane="bottomRight" activeCell="B13" sqref="B13"/>
    </sheetView>
  </sheetViews>
  <sheetFormatPr defaultRowHeight="15" x14ac:dyDescent="0.25"/>
  <cols>
    <col min="1" max="1" width="49.28515625" customWidth="1"/>
    <col min="2" max="2" width="17.7109375" customWidth="1"/>
    <col min="3" max="3" width="12.7109375" customWidth="1"/>
    <col min="4" max="4" width="13.42578125" bestFit="1" customWidth="1"/>
    <col min="5" max="5" width="12.7109375" customWidth="1"/>
  </cols>
  <sheetData>
    <row r="1" spans="1:7" ht="25.5" x14ac:dyDescent="0.35">
      <c r="A1" s="755" t="s">
        <v>1027</v>
      </c>
      <c r="B1" s="756"/>
      <c r="C1" s="756"/>
      <c r="D1" s="756"/>
      <c r="E1" s="756"/>
      <c r="G1" s="1193" t="s">
        <v>1251</v>
      </c>
    </row>
    <row r="2" spans="1:7" ht="15.75" thickBot="1" x14ac:dyDescent="0.3">
      <c r="A2" s="756"/>
      <c r="B2" s="756"/>
      <c r="C2" s="756"/>
      <c r="D2" s="756"/>
      <c r="E2" s="757" t="s">
        <v>901</v>
      </c>
    </row>
    <row r="3" spans="1:7" ht="15.75" x14ac:dyDescent="0.25">
      <c r="A3" s="1691" t="s">
        <v>1009</v>
      </c>
      <c r="B3" s="1269" t="s">
        <v>1213</v>
      </c>
      <c r="C3" s="1688" t="s">
        <v>1278</v>
      </c>
      <c r="D3" s="1689"/>
      <c r="E3" s="1690"/>
    </row>
    <row r="4" spans="1:7" x14ac:dyDescent="0.25">
      <c r="A4" s="1692"/>
      <c r="B4" s="1270" t="s">
        <v>1006</v>
      </c>
      <c r="C4" s="1271" t="s">
        <v>1003</v>
      </c>
      <c r="D4" s="1272" t="s">
        <v>1004</v>
      </c>
      <c r="E4" s="1273" t="s">
        <v>1006</v>
      </c>
    </row>
    <row r="5" spans="1:7" ht="15.75" thickBot="1" x14ac:dyDescent="0.3">
      <c r="A5" s="1692"/>
      <c r="B5" s="1274" t="s">
        <v>1002</v>
      </c>
      <c r="C5" s="1275" t="s">
        <v>1002</v>
      </c>
      <c r="D5" s="1276" t="s">
        <v>1005</v>
      </c>
      <c r="E5" s="1277" t="s">
        <v>1002</v>
      </c>
    </row>
    <row r="6" spans="1:7" ht="31.5" x14ac:dyDescent="0.25">
      <c r="A6" s="758" t="s">
        <v>1086</v>
      </c>
      <c r="B6" s="759">
        <f>SUM(B7:B13)</f>
        <v>90263</v>
      </c>
      <c r="C6" s="760">
        <f>'1'!E8</f>
        <v>643469</v>
      </c>
      <c r="D6" s="761">
        <f>SUM(D7:D13)</f>
        <v>-502714</v>
      </c>
      <c r="E6" s="762">
        <f>C6+D6</f>
        <v>140755</v>
      </c>
    </row>
    <row r="7" spans="1:7" x14ac:dyDescent="0.25">
      <c r="A7" s="763" t="s">
        <v>1010</v>
      </c>
      <c r="B7" s="764">
        <v>0</v>
      </c>
      <c r="C7" s="765">
        <f>'1'!E9</f>
        <v>0</v>
      </c>
      <c r="D7" s="766">
        <v>0</v>
      </c>
      <c r="E7" s="767">
        <f t="shared" ref="E7:E24" si="0">C7+D7</f>
        <v>0</v>
      </c>
    </row>
    <row r="8" spans="1:7" x14ac:dyDescent="0.25">
      <c r="A8" s="763" t="s">
        <v>1011</v>
      </c>
      <c r="B8" s="764">
        <v>86494</v>
      </c>
      <c r="C8" s="765">
        <f>'1'!E10</f>
        <v>634856</v>
      </c>
      <c r="D8" s="766">
        <f>'1'!E36</f>
        <v>-498869</v>
      </c>
      <c r="E8" s="767">
        <f t="shared" si="0"/>
        <v>135987</v>
      </c>
    </row>
    <row r="9" spans="1:7" x14ac:dyDescent="0.25">
      <c r="A9" s="763" t="s">
        <v>1012</v>
      </c>
      <c r="B9" s="764">
        <v>0</v>
      </c>
      <c r="C9" s="765">
        <f>'1'!E11</f>
        <v>0</v>
      </c>
      <c r="D9" s="766">
        <f>'1'!E37</f>
        <v>0</v>
      </c>
      <c r="E9" s="767">
        <f t="shared" si="0"/>
        <v>0</v>
      </c>
    </row>
    <row r="10" spans="1:7" x14ac:dyDescent="0.25">
      <c r="A10" s="763" t="s">
        <v>1013</v>
      </c>
      <c r="B10" s="764">
        <v>0</v>
      </c>
      <c r="C10" s="765">
        <f>'1'!E12</f>
        <v>2304</v>
      </c>
      <c r="D10" s="766">
        <f>'1'!E38</f>
        <v>-2304</v>
      </c>
      <c r="E10" s="767">
        <f t="shared" si="0"/>
        <v>0</v>
      </c>
    </row>
    <row r="11" spans="1:7" x14ac:dyDescent="0.25">
      <c r="A11" s="763" t="s">
        <v>1014</v>
      </c>
      <c r="B11" s="764">
        <v>618</v>
      </c>
      <c r="C11" s="765">
        <f>'1'!E13</f>
        <v>2218</v>
      </c>
      <c r="D11" s="766">
        <f>'1'!E39</f>
        <v>-1541</v>
      </c>
      <c r="E11" s="767">
        <f t="shared" si="0"/>
        <v>677</v>
      </c>
    </row>
    <row r="12" spans="1:7" x14ac:dyDescent="0.25">
      <c r="A12" s="763" t="s">
        <v>1015</v>
      </c>
      <c r="B12" s="764">
        <v>3151</v>
      </c>
      <c r="C12" s="765">
        <f>'1'!E14</f>
        <v>4091</v>
      </c>
      <c r="D12" s="766">
        <v>0</v>
      </c>
      <c r="E12" s="767">
        <f t="shared" si="0"/>
        <v>4091</v>
      </c>
    </row>
    <row r="13" spans="1:7" x14ac:dyDescent="0.25">
      <c r="A13" s="763" t="s">
        <v>1016</v>
      </c>
      <c r="B13" s="764">
        <v>0</v>
      </c>
      <c r="C13" s="765">
        <f>'1'!E15</f>
        <v>0</v>
      </c>
      <c r="D13" s="766">
        <v>0</v>
      </c>
      <c r="E13" s="767">
        <f t="shared" si="0"/>
        <v>0</v>
      </c>
    </row>
    <row r="14" spans="1:7" ht="31.5" x14ac:dyDescent="0.25">
      <c r="A14" s="768" t="s">
        <v>1087</v>
      </c>
      <c r="B14" s="769">
        <f>SUM(B15:B24)</f>
        <v>16300151</v>
      </c>
      <c r="C14" s="770">
        <f>'1'!E16</f>
        <v>32724409</v>
      </c>
      <c r="D14" s="771">
        <f>SUM(D15:D24)</f>
        <v>-14551885</v>
      </c>
      <c r="E14" s="772">
        <f t="shared" si="0"/>
        <v>18172524</v>
      </c>
    </row>
    <row r="15" spans="1:7" x14ac:dyDescent="0.25">
      <c r="A15" s="763" t="s">
        <v>1017</v>
      </c>
      <c r="B15" s="764">
        <v>1512480</v>
      </c>
      <c r="C15" s="765">
        <f>'1'!E17</f>
        <v>1515627</v>
      </c>
      <c r="D15" s="766">
        <v>0</v>
      </c>
      <c r="E15" s="767">
        <f t="shared" si="0"/>
        <v>1515627</v>
      </c>
    </row>
    <row r="16" spans="1:7" x14ac:dyDescent="0.25">
      <c r="A16" s="763" t="s">
        <v>1018</v>
      </c>
      <c r="B16" s="764">
        <v>43388</v>
      </c>
      <c r="C16" s="765">
        <f>'1'!E18</f>
        <v>23725</v>
      </c>
      <c r="D16" s="766">
        <v>0</v>
      </c>
      <c r="E16" s="767">
        <f t="shared" si="0"/>
        <v>23725</v>
      </c>
    </row>
    <row r="17" spans="1:14" x14ac:dyDescent="0.25">
      <c r="A17" s="763" t="s">
        <v>1019</v>
      </c>
      <c r="B17" s="764">
        <v>10778072</v>
      </c>
      <c r="C17" s="765">
        <f>'1'!E19</f>
        <v>17764518</v>
      </c>
      <c r="D17" s="766">
        <f>'1'!E40</f>
        <v>-6247310</v>
      </c>
      <c r="E17" s="767">
        <f t="shared" si="0"/>
        <v>11517208</v>
      </c>
    </row>
    <row r="18" spans="1:14" x14ac:dyDescent="0.25">
      <c r="A18" s="763" t="s">
        <v>1020</v>
      </c>
      <c r="B18" s="764">
        <v>2145553</v>
      </c>
      <c r="C18" s="765">
        <f>'1'!E20</f>
        <v>10372028</v>
      </c>
      <c r="D18" s="766">
        <f>'1'!E41</f>
        <v>-8130000</v>
      </c>
      <c r="E18" s="767">
        <f t="shared" si="0"/>
        <v>2242028</v>
      </c>
    </row>
    <row r="19" spans="1:14" x14ac:dyDescent="0.25">
      <c r="A19" s="763" t="s">
        <v>1021</v>
      </c>
      <c r="B19" s="764">
        <v>0</v>
      </c>
      <c r="C19" s="765">
        <f>'1'!E21</f>
        <v>0</v>
      </c>
      <c r="D19" s="766">
        <v>0</v>
      </c>
      <c r="E19" s="767">
        <f t="shared" si="0"/>
        <v>0</v>
      </c>
    </row>
    <row r="20" spans="1:14" x14ac:dyDescent="0.25">
      <c r="A20" s="763" t="s">
        <v>1022</v>
      </c>
      <c r="B20" s="764">
        <v>0</v>
      </c>
      <c r="C20" s="765">
        <f>'1'!E22</f>
        <v>0</v>
      </c>
      <c r="D20" s="766">
        <v>0</v>
      </c>
      <c r="E20" s="767">
        <f t="shared" si="0"/>
        <v>0</v>
      </c>
    </row>
    <row r="21" spans="1:14" x14ac:dyDescent="0.25">
      <c r="A21" s="763" t="s">
        <v>1023</v>
      </c>
      <c r="B21" s="764">
        <v>0</v>
      </c>
      <c r="C21" s="765">
        <f>'1'!E23</f>
        <v>169565</v>
      </c>
      <c r="D21" s="766">
        <f>'1'!E44</f>
        <v>-169565</v>
      </c>
      <c r="E21" s="767">
        <f t="shared" si="0"/>
        <v>0</v>
      </c>
    </row>
    <row r="22" spans="1:14" x14ac:dyDescent="0.25">
      <c r="A22" s="763" t="s">
        <v>1024</v>
      </c>
      <c r="B22" s="764">
        <v>1051</v>
      </c>
      <c r="C22" s="765">
        <f>'1'!E24</f>
        <v>8612</v>
      </c>
      <c r="D22" s="766">
        <f>'1'!E45</f>
        <v>-5010</v>
      </c>
      <c r="E22" s="767">
        <f t="shared" si="0"/>
        <v>3602</v>
      </c>
    </row>
    <row r="23" spans="1:14" x14ac:dyDescent="0.25">
      <c r="A23" s="763" t="s">
        <v>1025</v>
      </c>
      <c r="B23" s="764">
        <v>1819018</v>
      </c>
      <c r="C23" s="765">
        <f>'1'!E25</f>
        <v>2866484</v>
      </c>
      <c r="D23" s="766">
        <v>0</v>
      </c>
      <c r="E23" s="767">
        <f t="shared" si="0"/>
        <v>2866484</v>
      </c>
    </row>
    <row r="24" spans="1:14" ht="15.75" thickBot="1" x14ac:dyDescent="0.3">
      <c r="A24" s="773" t="s">
        <v>1026</v>
      </c>
      <c r="B24" s="774">
        <v>589</v>
      </c>
      <c r="C24" s="775">
        <f>'1'!E26</f>
        <v>3850</v>
      </c>
      <c r="D24" s="776">
        <v>0</v>
      </c>
      <c r="E24" s="777">
        <f t="shared" si="0"/>
        <v>3850</v>
      </c>
    </row>
    <row r="26" spans="1:14" x14ac:dyDescent="0.25">
      <c r="A26" s="548" t="s">
        <v>1007</v>
      </c>
      <c r="B26" s="547">
        <f>B6+B14</f>
        <v>16390414</v>
      </c>
      <c r="C26" s="547">
        <f>C6+C14</f>
        <v>33367878</v>
      </c>
      <c r="D26" s="547">
        <f>D6+D14</f>
        <v>-15054599</v>
      </c>
      <c r="E26" s="547">
        <f>E6+E14</f>
        <v>18313279</v>
      </c>
    </row>
    <row r="27" spans="1:14" x14ac:dyDescent="0.25">
      <c r="A27" s="549" t="s">
        <v>1008</v>
      </c>
      <c r="B27" s="747">
        <f>B26-SUM(B7:B13,B15:B24)</f>
        <v>0</v>
      </c>
      <c r="C27" s="747">
        <f>C26-('1'!E8+'1'!E16)</f>
        <v>0</v>
      </c>
      <c r="D27" s="747">
        <f>D26-'1'!E34</f>
        <v>0</v>
      </c>
      <c r="E27" s="747">
        <f>E26-(SUM('1'!E8,'1'!E16)+'1'!E34)</f>
        <v>0</v>
      </c>
    </row>
    <row r="28" spans="1:14" x14ac:dyDescent="0.25">
      <c r="H28" t="s">
        <v>1084</v>
      </c>
      <c r="L28" t="s">
        <v>1089</v>
      </c>
      <c r="N28" t="s">
        <v>1088</v>
      </c>
    </row>
    <row r="29" spans="1:14" x14ac:dyDescent="0.25">
      <c r="B29" s="716" t="s">
        <v>1064</v>
      </c>
      <c r="C29" s="716" t="s">
        <v>1064</v>
      </c>
      <c r="D29" s="716" t="s">
        <v>1064</v>
      </c>
      <c r="E29" s="716" t="s">
        <v>1064</v>
      </c>
      <c r="H29" s="714" t="s">
        <v>1065</v>
      </c>
      <c r="L29" s="716" t="s">
        <v>1076</v>
      </c>
      <c r="N29" s="716" t="s">
        <v>1064</v>
      </c>
    </row>
    <row r="30" spans="1:14" x14ac:dyDescent="0.25">
      <c r="B30" s="716" t="s">
        <v>1247</v>
      </c>
      <c r="C30" s="716" t="s">
        <v>1247</v>
      </c>
      <c r="D30" s="716" t="s">
        <v>1247</v>
      </c>
      <c r="E30" s="716" t="s">
        <v>1247</v>
      </c>
      <c r="H30" s="715" t="s">
        <v>1066</v>
      </c>
      <c r="L30" s="716" t="s">
        <v>1077</v>
      </c>
      <c r="N30" s="716" t="s">
        <v>1156</v>
      </c>
    </row>
    <row r="31" spans="1:14" x14ac:dyDescent="0.25">
      <c r="B31" s="716" t="s">
        <v>1102</v>
      </c>
    </row>
    <row r="32" spans="1:14" x14ac:dyDescent="0.25">
      <c r="B32" s="716" t="s">
        <v>1103</v>
      </c>
    </row>
    <row r="33" spans="3:3" x14ac:dyDescent="0.25">
      <c r="C33" s="547"/>
    </row>
    <row r="36" spans="3:3" x14ac:dyDescent="0.25">
      <c r="C36" s="547"/>
    </row>
    <row r="39" spans="3:3" x14ac:dyDescent="0.25">
      <c r="C39" s="547"/>
    </row>
  </sheetData>
  <mergeCells count="2">
    <mergeCell ref="C3:E3"/>
    <mergeCell ref="A3:A5"/>
  </mergeCells>
  <printOptions horizontalCentered="1"/>
  <pageMargins left="0" right="0" top="0.78740157480314965" bottom="0.78740157480314965"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E82"/>
  <sheetViews>
    <sheetView zoomScaleNormal="100" workbookViewId="0">
      <pane ySplit="5" topLeftCell="A53" activePane="bottomLeft" state="frozenSplit"/>
      <selection activeCell="B151" sqref="B151"/>
      <selection pane="bottomLeft" activeCell="B151" sqref="B151"/>
    </sheetView>
  </sheetViews>
  <sheetFormatPr defaultColWidth="9.140625" defaultRowHeight="12.75" x14ac:dyDescent="0.25"/>
  <cols>
    <col min="1" max="1" width="60.42578125" style="76" customWidth="1"/>
    <col min="2" max="2" width="16.7109375" style="102" customWidth="1"/>
    <col min="3" max="3" width="9.140625" style="102"/>
    <col min="4" max="4" width="12.5703125" style="78" customWidth="1"/>
    <col min="5" max="5" width="15.140625" style="78" customWidth="1"/>
    <col min="6" max="6" width="9.140625" style="19" customWidth="1"/>
    <col min="7" max="7" width="9.85546875" style="19" customWidth="1"/>
    <col min="8" max="8" width="9.140625" style="19" customWidth="1"/>
    <col min="9" max="9" width="9.85546875" style="19" customWidth="1"/>
    <col min="10" max="10" width="9.140625" style="19" customWidth="1"/>
    <col min="11" max="11" width="9.42578125" style="19" customWidth="1"/>
    <col min="12" max="12" width="9.140625" style="19" customWidth="1"/>
    <col min="13" max="13" width="12.28515625" style="19" customWidth="1"/>
    <col min="14" max="17" width="9.140625" style="19" customWidth="1"/>
    <col min="18" max="18" width="15.85546875" style="19" customWidth="1"/>
    <col min="19" max="19" width="9.85546875" style="19" customWidth="1"/>
    <col min="20" max="21" width="9.140625" style="19" customWidth="1"/>
    <col min="22" max="22" width="9.85546875" style="19" customWidth="1"/>
    <col min="23" max="25" width="9.140625" style="19" customWidth="1"/>
    <col min="26" max="16384" width="9.140625" style="19"/>
  </cols>
  <sheetData>
    <row r="1" spans="1:14" ht="26.25" x14ac:dyDescent="0.25">
      <c r="A1" s="1332" t="s">
        <v>756</v>
      </c>
      <c r="B1" s="1332"/>
      <c r="C1" s="1332"/>
      <c r="D1" s="1332"/>
      <c r="E1" s="1332"/>
      <c r="F1" s="710"/>
    </row>
    <row r="2" spans="1:14" ht="12.75" customHeight="1" thickBot="1" x14ac:dyDescent="0.3">
      <c r="A2" s="1333"/>
      <c r="B2" s="1333"/>
      <c r="C2" s="1333"/>
      <c r="D2" s="1333"/>
      <c r="E2" s="1333"/>
    </row>
    <row r="3" spans="1:14" ht="27.95" customHeight="1" thickBot="1" x14ac:dyDescent="0.3">
      <c r="A3" s="1318" t="s">
        <v>670</v>
      </c>
      <c r="B3" s="1319"/>
      <c r="C3" s="1319"/>
      <c r="D3" s="1319"/>
      <c r="E3" s="1320"/>
    </row>
    <row r="4" spans="1:14" ht="15" customHeight="1" thickBot="1" x14ac:dyDescent="0.3">
      <c r="A4" s="1321" t="s">
        <v>441</v>
      </c>
      <c r="B4" s="1322"/>
      <c r="C4" s="1322"/>
      <c r="D4" s="1322"/>
      <c r="E4" s="1323"/>
      <c r="G4" s="85">
        <v>2024</v>
      </c>
      <c r="I4" s="85">
        <v>2023</v>
      </c>
      <c r="K4" s="85" t="s">
        <v>1266</v>
      </c>
      <c r="M4" s="102" t="s">
        <v>1113</v>
      </c>
      <c r="N4" s="102" t="s">
        <v>1113</v>
      </c>
    </row>
    <row r="5" spans="1:14" s="85" customFormat="1" ht="39" thickBot="1" x14ac:dyDescent="0.3">
      <c r="A5" s="82" t="s">
        <v>671</v>
      </c>
      <c r="B5" s="83" t="s">
        <v>564</v>
      </c>
      <c r="C5" s="84" t="s">
        <v>672</v>
      </c>
      <c r="D5" s="56" t="s">
        <v>758</v>
      </c>
      <c r="E5" s="57" t="s">
        <v>759</v>
      </c>
      <c r="I5" s="780" t="s">
        <v>1114</v>
      </c>
      <c r="J5" s="780" t="s">
        <v>1115</v>
      </c>
      <c r="K5" s="102" t="s">
        <v>1114</v>
      </c>
      <c r="L5" s="102" t="s">
        <v>1115</v>
      </c>
      <c r="M5" s="102" t="s">
        <v>1114</v>
      </c>
      <c r="N5" s="102" t="s">
        <v>1115</v>
      </c>
    </row>
    <row r="6" spans="1:14" s="85" customFormat="1" x14ac:dyDescent="0.25">
      <c r="A6" s="86" t="s">
        <v>333</v>
      </c>
      <c r="B6" s="1334"/>
      <c r="C6" s="1335"/>
      <c r="D6" s="59" t="s">
        <v>429</v>
      </c>
      <c r="E6" s="60" t="s">
        <v>430</v>
      </c>
    </row>
    <row r="7" spans="1:14" ht="15" customHeight="1" x14ac:dyDescent="0.25">
      <c r="A7" s="72" t="s">
        <v>673</v>
      </c>
      <c r="B7" s="87" t="s">
        <v>674</v>
      </c>
      <c r="C7" s="88" t="s">
        <v>2</v>
      </c>
      <c r="D7" s="371">
        <f>SUM(D8:D13)</f>
        <v>2761337</v>
      </c>
      <c r="E7" s="372">
        <f>SUM(E8:E13)</f>
        <v>210458</v>
      </c>
      <c r="G7" s="708">
        <f>D7+E7</f>
        <v>2971795</v>
      </c>
      <c r="I7" s="781">
        <v>2540354</v>
      </c>
      <c r="J7" s="781">
        <v>211318</v>
      </c>
      <c r="K7" s="78">
        <f>D7-I7</f>
        <v>220983</v>
      </c>
      <c r="L7" s="78">
        <f>E7-J7</f>
        <v>-860</v>
      </c>
      <c r="M7" s="724">
        <f>K7/I7</f>
        <v>8.6989057430578567E-2</v>
      </c>
      <c r="N7" s="724">
        <f>L7/J7</f>
        <v>-4.0696959085359504E-3</v>
      </c>
    </row>
    <row r="8" spans="1:14" x14ac:dyDescent="0.25">
      <c r="A8" s="61" t="s">
        <v>675</v>
      </c>
      <c r="B8" s="89" t="s">
        <v>676</v>
      </c>
      <c r="C8" s="90" t="s">
        <v>5</v>
      </c>
      <c r="D8" s="367">
        <v>1130963</v>
      </c>
      <c r="E8" s="368">
        <v>98491</v>
      </c>
      <c r="G8" s="708">
        <f t="shared" ref="G8:G68" si="0">D8+E8</f>
        <v>1229454</v>
      </c>
      <c r="I8" s="725">
        <v>1112861</v>
      </c>
      <c r="J8" s="725">
        <v>113616</v>
      </c>
      <c r="K8" s="725">
        <f t="shared" ref="K8:L23" si="1">D8-I8</f>
        <v>18102</v>
      </c>
      <c r="L8" s="725">
        <f t="shared" si="1"/>
        <v>-15125</v>
      </c>
      <c r="M8" s="726">
        <f t="shared" ref="M8:N44" si="2">K8/I8</f>
        <v>1.6266182389355004E-2</v>
      </c>
      <c r="N8" s="726">
        <f t="shared" si="2"/>
        <v>-0.13312385579495845</v>
      </c>
    </row>
    <row r="9" spans="1:14" x14ac:dyDescent="0.25">
      <c r="A9" s="61" t="s">
        <v>677</v>
      </c>
      <c r="B9" s="89">
        <v>504</v>
      </c>
      <c r="C9" s="90" t="s">
        <v>8</v>
      </c>
      <c r="D9" s="367">
        <v>13959</v>
      </c>
      <c r="E9" s="368">
        <v>26190</v>
      </c>
      <c r="G9" s="708">
        <f t="shared" si="0"/>
        <v>40149</v>
      </c>
      <c r="I9" s="725">
        <v>3330</v>
      </c>
      <c r="J9" s="725">
        <v>22102</v>
      </c>
      <c r="K9" s="725">
        <f t="shared" si="1"/>
        <v>10629</v>
      </c>
      <c r="L9" s="725">
        <f t="shared" si="1"/>
        <v>4088</v>
      </c>
      <c r="M9" s="726">
        <f t="shared" si="2"/>
        <v>3.1918918918918919</v>
      </c>
      <c r="N9" s="726">
        <f t="shared" si="2"/>
        <v>0.18496063704642113</v>
      </c>
    </row>
    <row r="10" spans="1:14" x14ac:dyDescent="0.25">
      <c r="A10" s="61" t="s">
        <v>678</v>
      </c>
      <c r="B10" s="89">
        <v>511</v>
      </c>
      <c r="C10" s="90" t="s">
        <v>11</v>
      </c>
      <c r="D10" s="367">
        <v>338671</v>
      </c>
      <c r="E10" s="368">
        <v>20434</v>
      </c>
      <c r="G10" s="708">
        <f t="shared" si="0"/>
        <v>359105</v>
      </c>
      <c r="I10" s="725">
        <v>259195</v>
      </c>
      <c r="J10" s="725">
        <v>8632</v>
      </c>
      <c r="K10" s="725">
        <f t="shared" si="1"/>
        <v>79476</v>
      </c>
      <c r="L10" s="725">
        <f t="shared" si="1"/>
        <v>11802</v>
      </c>
      <c r="M10" s="726">
        <f t="shared" si="2"/>
        <v>0.30662628522926755</v>
      </c>
      <c r="N10" s="726">
        <f t="shared" si="2"/>
        <v>1.3672381835032437</v>
      </c>
    </row>
    <row r="11" spans="1:14" x14ac:dyDescent="0.25">
      <c r="A11" s="61" t="s">
        <v>679</v>
      </c>
      <c r="B11" s="89">
        <v>512</v>
      </c>
      <c r="C11" s="90" t="s">
        <v>14</v>
      </c>
      <c r="D11" s="367">
        <v>225125</v>
      </c>
      <c r="E11" s="368">
        <v>1831</v>
      </c>
      <c r="G11" s="708">
        <f t="shared" si="0"/>
        <v>226956</v>
      </c>
      <c r="I11" s="725">
        <v>208010</v>
      </c>
      <c r="J11" s="725">
        <v>2028</v>
      </c>
      <c r="K11" s="725">
        <f t="shared" si="1"/>
        <v>17115</v>
      </c>
      <c r="L11" s="725">
        <f t="shared" si="1"/>
        <v>-197</v>
      </c>
      <c r="M11" s="726">
        <f t="shared" si="2"/>
        <v>8.2279698091437911E-2</v>
      </c>
      <c r="N11" s="726">
        <f t="shared" si="2"/>
        <v>-9.7140039447731752E-2</v>
      </c>
    </row>
    <row r="12" spans="1:14" x14ac:dyDescent="0.25">
      <c r="A12" s="61" t="s">
        <v>680</v>
      </c>
      <c r="B12" s="89">
        <v>513</v>
      </c>
      <c r="C12" s="90" t="s">
        <v>17</v>
      </c>
      <c r="D12" s="367">
        <v>18780</v>
      </c>
      <c r="E12" s="368">
        <v>8762</v>
      </c>
      <c r="G12" s="708">
        <f t="shared" si="0"/>
        <v>27542</v>
      </c>
      <c r="I12" s="725">
        <v>18034</v>
      </c>
      <c r="J12" s="725">
        <v>9361</v>
      </c>
      <c r="K12" s="725">
        <f t="shared" si="1"/>
        <v>746</v>
      </c>
      <c r="L12" s="725">
        <f t="shared" si="1"/>
        <v>-599</v>
      </c>
      <c r="M12" s="726">
        <f t="shared" si="2"/>
        <v>4.1366308084728846E-2</v>
      </c>
      <c r="N12" s="726">
        <f t="shared" si="2"/>
        <v>-6.3988890075846599E-2</v>
      </c>
    </row>
    <row r="13" spans="1:14" x14ac:dyDescent="0.25">
      <c r="A13" s="61" t="s">
        <v>681</v>
      </c>
      <c r="B13" s="89">
        <v>518</v>
      </c>
      <c r="C13" s="90" t="s">
        <v>20</v>
      </c>
      <c r="D13" s="367">
        <v>1033839</v>
      </c>
      <c r="E13" s="368">
        <v>54750</v>
      </c>
      <c r="G13" s="708">
        <f t="shared" si="0"/>
        <v>1088589</v>
      </c>
      <c r="I13" s="725">
        <v>938924</v>
      </c>
      <c r="J13" s="725">
        <v>55579</v>
      </c>
      <c r="K13" s="725">
        <f t="shared" si="1"/>
        <v>94915</v>
      </c>
      <c r="L13" s="725">
        <f t="shared" si="1"/>
        <v>-829</v>
      </c>
      <c r="M13" s="726">
        <f t="shared" si="2"/>
        <v>0.10108911903412843</v>
      </c>
      <c r="N13" s="726">
        <f t="shared" si="2"/>
        <v>-1.491570557224851E-2</v>
      </c>
    </row>
    <row r="14" spans="1:14" ht="15" customHeight="1" x14ac:dyDescent="0.25">
      <c r="A14" s="61" t="s">
        <v>682</v>
      </c>
      <c r="B14" s="87" t="s">
        <v>683</v>
      </c>
      <c r="C14" s="90" t="s">
        <v>23</v>
      </c>
      <c r="D14" s="371">
        <f>SUM(D15:D17)</f>
        <v>-15248</v>
      </c>
      <c r="E14" s="373">
        <f>SUM(E15:E17)</f>
        <v>0</v>
      </c>
      <c r="G14" s="708">
        <f t="shared" si="0"/>
        <v>-15248</v>
      </c>
      <c r="I14" s="781">
        <v>-7465</v>
      </c>
      <c r="J14" s="781">
        <v>0</v>
      </c>
      <c r="K14" s="78">
        <f t="shared" si="1"/>
        <v>-7783</v>
      </c>
      <c r="L14" s="78">
        <f t="shared" si="1"/>
        <v>0</v>
      </c>
      <c r="M14" s="724">
        <f t="shared" si="2"/>
        <v>1.042598794373744</v>
      </c>
      <c r="N14" s="724"/>
    </row>
    <row r="15" spans="1:14" x14ac:dyDescent="0.25">
      <c r="A15" s="61" t="s">
        <v>1074</v>
      </c>
      <c r="B15" s="89">
        <v>56</v>
      </c>
      <c r="C15" s="90" t="s">
        <v>26</v>
      </c>
      <c r="D15" s="367">
        <v>-11088</v>
      </c>
      <c r="E15" s="368">
        <v>0</v>
      </c>
      <c r="G15" s="708">
        <f t="shared" si="0"/>
        <v>-11088</v>
      </c>
      <c r="I15" s="725">
        <v>-3209</v>
      </c>
      <c r="J15" s="725">
        <v>0</v>
      </c>
      <c r="K15" s="725">
        <f t="shared" si="1"/>
        <v>-7879</v>
      </c>
      <c r="L15" s="725">
        <f t="shared" si="1"/>
        <v>0</v>
      </c>
      <c r="M15" s="726">
        <f t="shared" si="2"/>
        <v>2.4552820193206606</v>
      </c>
      <c r="N15" s="724"/>
    </row>
    <row r="16" spans="1:14" x14ac:dyDescent="0.25">
      <c r="A16" s="61" t="s">
        <v>1075</v>
      </c>
      <c r="B16" s="89">
        <v>571.572</v>
      </c>
      <c r="C16" s="90" t="s">
        <v>29</v>
      </c>
      <c r="D16" s="367">
        <v>-3886</v>
      </c>
      <c r="E16" s="368">
        <v>0</v>
      </c>
      <c r="G16" s="708">
        <f t="shared" si="0"/>
        <v>-3886</v>
      </c>
      <c r="I16" s="725">
        <v>-4256</v>
      </c>
      <c r="J16" s="725">
        <v>0</v>
      </c>
      <c r="K16" s="725">
        <f t="shared" si="1"/>
        <v>370</v>
      </c>
      <c r="L16" s="725">
        <f t="shared" si="1"/>
        <v>0</v>
      </c>
      <c r="M16" s="726">
        <f t="shared" si="2"/>
        <v>-8.6936090225563908E-2</v>
      </c>
      <c r="N16" s="724"/>
    </row>
    <row r="17" spans="1:19" x14ac:dyDescent="0.25">
      <c r="A17" s="61" t="s">
        <v>686</v>
      </c>
      <c r="B17" s="89">
        <v>573.57399999999996</v>
      </c>
      <c r="C17" s="90" t="s">
        <v>32</v>
      </c>
      <c r="D17" s="367">
        <v>-274</v>
      </c>
      <c r="E17" s="368">
        <v>0</v>
      </c>
      <c r="G17" s="708">
        <f t="shared" si="0"/>
        <v>-274</v>
      </c>
      <c r="I17" s="725">
        <v>0</v>
      </c>
      <c r="J17" s="725">
        <v>0</v>
      </c>
      <c r="K17" s="725">
        <f t="shared" si="1"/>
        <v>-274</v>
      </c>
      <c r="L17" s="725">
        <f t="shared" si="1"/>
        <v>0</v>
      </c>
      <c r="M17" s="726" t="e">
        <f t="shared" si="2"/>
        <v>#DIV/0!</v>
      </c>
      <c r="N17" s="724"/>
    </row>
    <row r="18" spans="1:19" ht="15" customHeight="1" x14ac:dyDescent="0.25">
      <c r="A18" s="61" t="s">
        <v>687</v>
      </c>
      <c r="B18" s="89" t="s">
        <v>688</v>
      </c>
      <c r="C18" s="90" t="s">
        <v>34</v>
      </c>
      <c r="D18" s="365">
        <f>SUM(D19:D23)</f>
        <v>8877203</v>
      </c>
      <c r="E18" s="373">
        <f>SUM(E19:E23)</f>
        <v>142791</v>
      </c>
      <c r="G18" s="708">
        <f t="shared" si="0"/>
        <v>9019994</v>
      </c>
      <c r="I18" s="781">
        <v>8352944</v>
      </c>
      <c r="J18" s="781">
        <v>112120</v>
      </c>
      <c r="K18" s="78">
        <f t="shared" si="1"/>
        <v>524259</v>
      </c>
      <c r="L18" s="78">
        <f t="shared" si="1"/>
        <v>30671</v>
      </c>
      <c r="M18" s="724">
        <f t="shared" si="2"/>
        <v>6.2763380192660215E-2</v>
      </c>
      <c r="N18" s="724">
        <f t="shared" si="2"/>
        <v>0.27355511951480554</v>
      </c>
    </row>
    <row r="19" spans="1:19" x14ac:dyDescent="0.25">
      <c r="A19" s="61" t="s">
        <v>1073</v>
      </c>
      <c r="B19" s="89">
        <v>521</v>
      </c>
      <c r="C19" s="90" t="s">
        <v>37</v>
      </c>
      <c r="D19" s="367">
        <v>6515404</v>
      </c>
      <c r="E19" s="368">
        <v>106567</v>
      </c>
      <c r="G19" s="708">
        <f t="shared" si="0"/>
        <v>6621971</v>
      </c>
      <c r="I19" s="725">
        <v>6132357</v>
      </c>
      <c r="J19" s="725">
        <v>85434</v>
      </c>
      <c r="K19" s="725">
        <f t="shared" si="1"/>
        <v>383047</v>
      </c>
      <c r="L19" s="725">
        <f t="shared" si="1"/>
        <v>21133</v>
      </c>
      <c r="M19" s="726">
        <f t="shared" si="2"/>
        <v>6.2463258417603543E-2</v>
      </c>
      <c r="N19" s="726">
        <f t="shared" si="2"/>
        <v>0.24736053561813798</v>
      </c>
    </row>
    <row r="20" spans="1:19" x14ac:dyDescent="0.25">
      <c r="A20" s="61" t="s">
        <v>690</v>
      </c>
      <c r="B20" s="89">
        <v>524</v>
      </c>
      <c r="C20" s="90" t="s">
        <v>39</v>
      </c>
      <c r="D20" s="367">
        <v>2124254</v>
      </c>
      <c r="E20" s="368">
        <v>32088</v>
      </c>
      <c r="G20" s="708">
        <f t="shared" si="0"/>
        <v>2156342</v>
      </c>
      <c r="I20" s="725">
        <v>1986302</v>
      </c>
      <c r="J20" s="725">
        <v>24951</v>
      </c>
      <c r="K20" s="725">
        <f t="shared" si="1"/>
        <v>137952</v>
      </c>
      <c r="L20" s="725">
        <f t="shared" si="1"/>
        <v>7137</v>
      </c>
      <c r="M20" s="726">
        <f t="shared" si="2"/>
        <v>6.9451674518779122E-2</v>
      </c>
      <c r="N20" s="726">
        <f t="shared" si="2"/>
        <v>0.28604063965372128</v>
      </c>
    </row>
    <row r="21" spans="1:19" x14ac:dyDescent="0.25">
      <c r="A21" s="61" t="s">
        <v>691</v>
      </c>
      <c r="B21" s="89">
        <v>525</v>
      </c>
      <c r="C21" s="90" t="s">
        <v>42</v>
      </c>
      <c r="D21" s="367">
        <v>0</v>
      </c>
      <c r="E21" s="368">
        <v>0</v>
      </c>
      <c r="G21" s="708">
        <f t="shared" si="0"/>
        <v>0</v>
      </c>
      <c r="I21" s="725">
        <v>0</v>
      </c>
      <c r="J21" s="725">
        <v>0</v>
      </c>
      <c r="K21" s="725">
        <f t="shared" si="1"/>
        <v>0</v>
      </c>
      <c r="L21" s="725">
        <f t="shared" si="1"/>
        <v>0</v>
      </c>
      <c r="M21" s="726"/>
      <c r="N21" s="726"/>
    </row>
    <row r="22" spans="1:19" x14ac:dyDescent="0.25">
      <c r="A22" s="61" t="s">
        <v>692</v>
      </c>
      <c r="B22" s="89">
        <v>527</v>
      </c>
      <c r="C22" s="90" t="s">
        <v>44</v>
      </c>
      <c r="D22" s="367">
        <v>141917</v>
      </c>
      <c r="E22" s="368">
        <v>3736</v>
      </c>
      <c r="G22" s="708">
        <f t="shared" si="0"/>
        <v>145653</v>
      </c>
      <c r="I22" s="725">
        <v>132085</v>
      </c>
      <c r="J22" s="725">
        <v>1311</v>
      </c>
      <c r="K22" s="725">
        <f t="shared" si="1"/>
        <v>9832</v>
      </c>
      <c r="L22" s="725">
        <f t="shared" si="1"/>
        <v>2425</v>
      </c>
      <c r="M22" s="726">
        <f t="shared" si="2"/>
        <v>7.4436915622515809E-2</v>
      </c>
      <c r="N22" s="726">
        <f t="shared" si="2"/>
        <v>1.8497330282227307</v>
      </c>
      <c r="P22" s="78">
        <f>SUM(D22:D23)</f>
        <v>237545</v>
      </c>
      <c r="Q22" s="78">
        <f>SUM(I22:I23)</f>
        <v>234285</v>
      </c>
      <c r="R22" s="78">
        <f>P22-Q22</f>
        <v>3260</v>
      </c>
      <c r="S22" s="1284">
        <f>R22/Q22</f>
        <v>1.3914676569135882E-2</v>
      </c>
    </row>
    <row r="23" spans="1:19" x14ac:dyDescent="0.25">
      <c r="A23" s="61" t="s">
        <v>693</v>
      </c>
      <c r="B23" s="89">
        <v>528</v>
      </c>
      <c r="C23" s="90" t="s">
        <v>47</v>
      </c>
      <c r="D23" s="367">
        <v>95628</v>
      </c>
      <c r="E23" s="368">
        <v>400</v>
      </c>
      <c r="G23" s="708">
        <f t="shared" si="0"/>
        <v>96028</v>
      </c>
      <c r="I23" s="725">
        <v>102200</v>
      </c>
      <c r="J23" s="725">
        <v>424</v>
      </c>
      <c r="K23" s="725">
        <f t="shared" si="1"/>
        <v>-6572</v>
      </c>
      <c r="L23" s="725">
        <f t="shared" si="1"/>
        <v>-24</v>
      </c>
      <c r="M23" s="726">
        <f t="shared" si="2"/>
        <v>-6.4305283757338558E-2</v>
      </c>
      <c r="N23" s="726">
        <f t="shared" si="2"/>
        <v>-5.6603773584905662E-2</v>
      </c>
    </row>
    <row r="24" spans="1:19" ht="15" customHeight="1" x14ac:dyDescent="0.25">
      <c r="A24" s="61" t="s">
        <v>694</v>
      </c>
      <c r="B24" s="89" t="s">
        <v>695</v>
      </c>
      <c r="C24" s="90" t="s">
        <v>50</v>
      </c>
      <c r="D24" s="365">
        <f>SUM(D25:D25)</f>
        <v>1658</v>
      </c>
      <c r="E24" s="373">
        <f>SUM(E25:E25)</f>
        <v>1108</v>
      </c>
      <c r="G24" s="708">
        <f t="shared" si="0"/>
        <v>2766</v>
      </c>
      <c r="I24" s="781">
        <v>1092</v>
      </c>
      <c r="J24" s="781">
        <v>363</v>
      </c>
      <c r="K24" s="78">
        <f t="shared" ref="K24:L44" si="3">D24-I24</f>
        <v>566</v>
      </c>
      <c r="L24" s="78">
        <f t="shared" si="3"/>
        <v>745</v>
      </c>
      <c r="M24" s="726">
        <f t="shared" si="2"/>
        <v>0.51831501831501836</v>
      </c>
      <c r="N24" s="726">
        <f t="shared" si="2"/>
        <v>2.0523415977961434</v>
      </c>
    </row>
    <row r="25" spans="1:19" x14ac:dyDescent="0.25">
      <c r="A25" s="61" t="s">
        <v>696</v>
      </c>
      <c r="B25" s="89">
        <v>53</v>
      </c>
      <c r="C25" s="90" t="s">
        <v>53</v>
      </c>
      <c r="D25" s="367">
        <v>1658</v>
      </c>
      <c r="E25" s="368">
        <v>1108</v>
      </c>
      <c r="G25" s="708">
        <f t="shared" si="0"/>
        <v>2766</v>
      </c>
      <c r="I25" s="725">
        <v>1092</v>
      </c>
      <c r="J25" s="725">
        <v>363</v>
      </c>
      <c r="K25" s="725">
        <f t="shared" si="3"/>
        <v>566</v>
      </c>
      <c r="L25" s="725">
        <f t="shared" si="3"/>
        <v>745</v>
      </c>
      <c r="M25" s="726">
        <f t="shared" si="2"/>
        <v>0.51831501831501836</v>
      </c>
      <c r="N25" s="726">
        <f t="shared" si="2"/>
        <v>2.0523415977961434</v>
      </c>
    </row>
    <row r="26" spans="1:19" ht="15" customHeight="1" x14ac:dyDescent="0.25">
      <c r="A26" s="61" t="s">
        <v>697</v>
      </c>
      <c r="B26" s="89" t="s">
        <v>698</v>
      </c>
      <c r="C26" s="90" t="s">
        <v>56</v>
      </c>
      <c r="D26" s="365">
        <f>SUM(D27:D33)</f>
        <v>2180041</v>
      </c>
      <c r="E26" s="373">
        <f>SUM(E27:E33)</f>
        <v>38166</v>
      </c>
      <c r="G26" s="708">
        <f t="shared" si="0"/>
        <v>2218207</v>
      </c>
      <c r="I26" s="781">
        <v>2176637</v>
      </c>
      <c r="J26" s="781">
        <v>34219</v>
      </c>
      <c r="K26" s="78">
        <f t="shared" si="3"/>
        <v>3404</v>
      </c>
      <c r="L26" s="78">
        <f t="shared" si="3"/>
        <v>3947</v>
      </c>
      <c r="M26" s="724">
        <f t="shared" si="2"/>
        <v>1.5638804265479269E-3</v>
      </c>
      <c r="N26" s="724">
        <f t="shared" si="2"/>
        <v>0.11534527601624828</v>
      </c>
    </row>
    <row r="27" spans="1:19" x14ac:dyDescent="0.25">
      <c r="A27" s="61" t="s">
        <v>699</v>
      </c>
      <c r="B27" s="89">
        <v>541.54200000000003</v>
      </c>
      <c r="C27" s="90" t="s">
        <v>58</v>
      </c>
      <c r="D27" s="367">
        <v>313</v>
      </c>
      <c r="E27" s="368">
        <v>179</v>
      </c>
      <c r="G27" s="708">
        <f t="shared" si="0"/>
        <v>492</v>
      </c>
      <c r="I27" s="725">
        <v>2366</v>
      </c>
      <c r="J27" s="725">
        <v>30</v>
      </c>
      <c r="K27" s="725">
        <f t="shared" si="3"/>
        <v>-2053</v>
      </c>
      <c r="L27" s="725">
        <f t="shared" si="3"/>
        <v>149</v>
      </c>
      <c r="M27" s="726">
        <f t="shared" si="2"/>
        <v>-0.86770921386305999</v>
      </c>
      <c r="N27" s="726">
        <f t="shared" si="2"/>
        <v>4.9666666666666668</v>
      </c>
    </row>
    <row r="28" spans="1:19" x14ac:dyDescent="0.25">
      <c r="A28" s="61" t="s">
        <v>700</v>
      </c>
      <c r="B28" s="89">
        <v>543</v>
      </c>
      <c r="C28" s="90" t="s">
        <v>60</v>
      </c>
      <c r="D28" s="367">
        <v>6708</v>
      </c>
      <c r="E28" s="368">
        <v>196</v>
      </c>
      <c r="G28" s="708">
        <f t="shared" si="0"/>
        <v>6904</v>
      </c>
      <c r="I28" s="725">
        <v>1891</v>
      </c>
      <c r="J28" s="725">
        <v>1678</v>
      </c>
      <c r="K28" s="725">
        <f t="shared" si="3"/>
        <v>4817</v>
      </c>
      <c r="L28" s="725">
        <f t="shared" si="3"/>
        <v>-1482</v>
      </c>
      <c r="M28" s="726">
        <f t="shared" si="2"/>
        <v>2.5473294553146482</v>
      </c>
      <c r="N28" s="726">
        <f t="shared" si="2"/>
        <v>-0.88319427890345648</v>
      </c>
    </row>
    <row r="29" spans="1:19" x14ac:dyDescent="0.25">
      <c r="A29" s="61" t="s">
        <v>701</v>
      </c>
      <c r="B29" s="89">
        <v>544</v>
      </c>
      <c r="C29" s="90" t="s">
        <v>62</v>
      </c>
      <c r="D29" s="367">
        <v>141</v>
      </c>
      <c r="E29" s="368">
        <v>0</v>
      </c>
      <c r="G29" s="708">
        <f t="shared" si="0"/>
        <v>141</v>
      </c>
      <c r="I29" s="725">
        <v>265</v>
      </c>
      <c r="J29" s="725">
        <v>0</v>
      </c>
      <c r="K29" s="725">
        <f t="shared" si="3"/>
        <v>-124</v>
      </c>
      <c r="L29" s="725">
        <f t="shared" si="3"/>
        <v>0</v>
      </c>
      <c r="M29" s="726">
        <f t="shared" si="2"/>
        <v>-0.4679245283018868</v>
      </c>
      <c r="N29" s="726"/>
    </row>
    <row r="30" spans="1:19" x14ac:dyDescent="0.25">
      <c r="A30" s="61" t="s">
        <v>702</v>
      </c>
      <c r="B30" s="89">
        <v>545</v>
      </c>
      <c r="C30" s="90" t="s">
        <v>65</v>
      </c>
      <c r="D30" s="367">
        <v>21925</v>
      </c>
      <c r="E30" s="368">
        <v>413</v>
      </c>
      <c r="G30" s="708">
        <f t="shared" si="0"/>
        <v>22338</v>
      </c>
      <c r="I30" s="725">
        <v>17217</v>
      </c>
      <c r="J30" s="725">
        <v>500</v>
      </c>
      <c r="K30" s="725">
        <f t="shared" si="3"/>
        <v>4708</v>
      </c>
      <c r="L30" s="725">
        <f t="shared" si="3"/>
        <v>-87</v>
      </c>
      <c r="M30" s="726">
        <f t="shared" si="2"/>
        <v>0.27345065923215428</v>
      </c>
      <c r="N30" s="726">
        <f t="shared" si="2"/>
        <v>-0.17399999999999999</v>
      </c>
    </row>
    <row r="31" spans="1:19" x14ac:dyDescent="0.25">
      <c r="A31" s="61" t="s">
        <v>703</v>
      </c>
      <c r="B31" s="89">
        <v>546</v>
      </c>
      <c r="C31" s="90" t="s">
        <v>67</v>
      </c>
      <c r="D31" s="367">
        <v>437</v>
      </c>
      <c r="E31" s="368">
        <v>520</v>
      </c>
      <c r="G31" s="708">
        <f t="shared" si="0"/>
        <v>957</v>
      </c>
      <c r="I31" s="725">
        <v>2185</v>
      </c>
      <c r="J31" s="725">
        <v>756</v>
      </c>
      <c r="K31" s="725">
        <f t="shared" si="3"/>
        <v>-1748</v>
      </c>
      <c r="L31" s="725">
        <f t="shared" si="3"/>
        <v>-236</v>
      </c>
      <c r="M31" s="726">
        <f t="shared" si="2"/>
        <v>-0.8</v>
      </c>
      <c r="N31" s="726">
        <f t="shared" si="2"/>
        <v>-0.31216931216931215</v>
      </c>
    </row>
    <row r="32" spans="1:19" x14ac:dyDescent="0.25">
      <c r="A32" s="61" t="s">
        <v>704</v>
      </c>
      <c r="B32" s="89">
        <v>548</v>
      </c>
      <c r="C32" s="90" t="s">
        <v>69</v>
      </c>
      <c r="D32" s="367">
        <v>576</v>
      </c>
      <c r="E32" s="368">
        <v>196</v>
      </c>
      <c r="G32" s="708">
        <f t="shared" si="0"/>
        <v>772</v>
      </c>
      <c r="I32" s="725">
        <v>7964</v>
      </c>
      <c r="J32" s="725">
        <v>508</v>
      </c>
      <c r="K32" s="725">
        <f t="shared" si="3"/>
        <v>-7388</v>
      </c>
      <c r="L32" s="725">
        <f t="shared" si="3"/>
        <v>-312</v>
      </c>
      <c r="M32" s="726">
        <f t="shared" si="2"/>
        <v>-0.92767453540934208</v>
      </c>
      <c r="N32" s="726">
        <f t="shared" si="2"/>
        <v>-0.61417322834645671</v>
      </c>
      <c r="R32" s="710"/>
    </row>
    <row r="33" spans="1:31" x14ac:dyDescent="0.25">
      <c r="A33" s="61" t="s">
        <v>705</v>
      </c>
      <c r="B33" s="89">
        <v>549</v>
      </c>
      <c r="C33" s="90" t="s">
        <v>72</v>
      </c>
      <c r="D33" s="367">
        <v>2149941</v>
      </c>
      <c r="E33" s="368">
        <v>36662</v>
      </c>
      <c r="G33" s="708">
        <f t="shared" si="0"/>
        <v>2186603</v>
      </c>
      <c r="I33" s="725">
        <v>2144749</v>
      </c>
      <c r="J33" s="725">
        <v>30747</v>
      </c>
      <c r="K33" s="725">
        <f t="shared" si="3"/>
        <v>5192</v>
      </c>
      <c r="L33" s="725">
        <f t="shared" si="3"/>
        <v>5915</v>
      </c>
      <c r="M33" s="726">
        <f t="shared" si="2"/>
        <v>2.4207960931558891E-3</v>
      </c>
      <c r="N33" s="726">
        <f t="shared" si="2"/>
        <v>0.19237649201548118</v>
      </c>
      <c r="R33" s="710"/>
      <c r="S33" s="724"/>
    </row>
    <row r="34" spans="1:31" ht="15" customHeight="1" x14ac:dyDescent="0.25">
      <c r="A34" s="61" t="s">
        <v>706</v>
      </c>
      <c r="B34" s="89" t="s">
        <v>707</v>
      </c>
      <c r="C34" s="90" t="s">
        <v>73</v>
      </c>
      <c r="D34" s="365">
        <f>SUM(D35:D39)</f>
        <v>1029214</v>
      </c>
      <c r="E34" s="373">
        <f>SUM(E35:E39)</f>
        <v>530</v>
      </c>
      <c r="G34" s="708">
        <f t="shared" si="0"/>
        <v>1029744</v>
      </c>
      <c r="I34" s="781">
        <v>1047030</v>
      </c>
      <c r="J34" s="781">
        <v>47494</v>
      </c>
      <c r="K34" s="78">
        <f t="shared" si="3"/>
        <v>-17816</v>
      </c>
      <c r="L34" s="78">
        <f t="shared" si="3"/>
        <v>-46964</v>
      </c>
      <c r="M34" s="724">
        <f t="shared" si="2"/>
        <v>-1.7015749309952914E-2</v>
      </c>
      <c r="N34" s="724">
        <f t="shared" si="2"/>
        <v>-0.98884069566682109</v>
      </c>
    </row>
    <row r="35" spans="1:31" x14ac:dyDescent="0.25">
      <c r="A35" s="61" t="s">
        <v>708</v>
      </c>
      <c r="B35" s="89">
        <v>551</v>
      </c>
      <c r="C35" s="90" t="s">
        <v>75</v>
      </c>
      <c r="D35" s="367">
        <v>1039388</v>
      </c>
      <c r="E35" s="368">
        <v>989</v>
      </c>
      <c r="G35" s="708">
        <f t="shared" si="0"/>
        <v>1040377</v>
      </c>
      <c r="I35" s="725">
        <v>1031938</v>
      </c>
      <c r="J35" s="725">
        <v>13374</v>
      </c>
      <c r="K35" s="725">
        <f t="shared" si="3"/>
        <v>7450</v>
      </c>
      <c r="L35" s="725">
        <f t="shared" si="3"/>
        <v>-12385</v>
      </c>
      <c r="M35" s="726">
        <f t="shared" si="2"/>
        <v>7.2194259732658358E-3</v>
      </c>
      <c r="N35" s="726">
        <f t="shared" si="2"/>
        <v>-0.92605054583520263</v>
      </c>
    </row>
    <row r="36" spans="1:31" ht="12.75" customHeight="1" x14ac:dyDescent="0.25">
      <c r="A36" s="61" t="s">
        <v>709</v>
      </c>
      <c r="B36" s="89">
        <v>552</v>
      </c>
      <c r="C36" s="90" t="s">
        <v>78</v>
      </c>
      <c r="D36" s="367">
        <v>20130</v>
      </c>
      <c r="E36" s="368">
        <v>0</v>
      </c>
      <c r="G36" s="708">
        <f t="shared" si="0"/>
        <v>20130</v>
      </c>
      <c r="I36" s="725">
        <v>6870</v>
      </c>
      <c r="J36" s="725">
        <v>356</v>
      </c>
      <c r="K36" s="725">
        <f t="shared" si="3"/>
        <v>13260</v>
      </c>
      <c r="L36" s="725">
        <f t="shared" si="3"/>
        <v>-356</v>
      </c>
      <c r="M36" s="726">
        <f t="shared" si="2"/>
        <v>1.9301310043668123</v>
      </c>
      <c r="N36" s="726"/>
    </row>
    <row r="37" spans="1:31" x14ac:dyDescent="0.25">
      <c r="A37" s="61" t="s">
        <v>710</v>
      </c>
      <c r="B37" s="89">
        <v>553</v>
      </c>
      <c r="C37" s="90" t="s">
        <v>81</v>
      </c>
      <c r="D37" s="367">
        <v>0</v>
      </c>
      <c r="E37" s="368">
        <v>0</v>
      </c>
      <c r="G37" s="708">
        <f t="shared" si="0"/>
        <v>0</v>
      </c>
      <c r="I37" s="725">
        <v>0</v>
      </c>
      <c r="J37" s="725">
        <v>0</v>
      </c>
      <c r="K37" s="725">
        <f t="shared" si="3"/>
        <v>0</v>
      </c>
      <c r="L37" s="725">
        <f t="shared" si="3"/>
        <v>0</v>
      </c>
      <c r="M37" s="726"/>
      <c r="N37" s="726"/>
    </row>
    <row r="38" spans="1:31" x14ac:dyDescent="0.25">
      <c r="A38" s="61" t="s">
        <v>711</v>
      </c>
      <c r="B38" s="89">
        <v>554</v>
      </c>
      <c r="C38" s="90" t="s">
        <v>84</v>
      </c>
      <c r="D38" s="367">
        <v>190</v>
      </c>
      <c r="E38" s="368">
        <v>455</v>
      </c>
      <c r="G38" s="708">
        <f t="shared" si="0"/>
        <v>645</v>
      </c>
      <c r="I38" s="725">
        <v>385</v>
      </c>
      <c r="J38" s="725">
        <v>361</v>
      </c>
      <c r="K38" s="725">
        <f t="shared" si="3"/>
        <v>-195</v>
      </c>
      <c r="L38" s="725">
        <f t="shared" si="3"/>
        <v>94</v>
      </c>
      <c r="M38" s="726"/>
      <c r="N38" s="726">
        <f t="shared" si="2"/>
        <v>0.26038781163434904</v>
      </c>
    </row>
    <row r="39" spans="1:31" x14ac:dyDescent="0.25">
      <c r="A39" s="61" t="s">
        <v>1334</v>
      </c>
      <c r="B39" s="89" t="s">
        <v>713</v>
      </c>
      <c r="C39" s="90" t="s">
        <v>86</v>
      </c>
      <c r="D39" s="367">
        <v>-30494</v>
      </c>
      <c r="E39" s="368">
        <v>-914</v>
      </c>
      <c r="G39" s="708">
        <f t="shared" si="0"/>
        <v>-31408</v>
      </c>
      <c r="I39" s="725">
        <v>7837</v>
      </c>
      <c r="J39" s="725">
        <v>33403</v>
      </c>
      <c r="K39" s="725">
        <f t="shared" si="3"/>
        <v>-38331</v>
      </c>
      <c r="L39" s="725">
        <f t="shared" si="3"/>
        <v>-34317</v>
      </c>
      <c r="M39" s="726">
        <f t="shared" si="2"/>
        <v>-4.8910297307643233</v>
      </c>
      <c r="N39" s="726">
        <f t="shared" si="2"/>
        <v>-1.0273628117234979</v>
      </c>
    </row>
    <row r="40" spans="1:31" ht="13.9" customHeight="1" x14ac:dyDescent="0.25">
      <c r="A40" s="61" t="s">
        <v>334</v>
      </c>
      <c r="B40" s="89" t="s">
        <v>714</v>
      </c>
      <c r="C40" s="90" t="s">
        <v>88</v>
      </c>
      <c r="D40" s="365">
        <f>SUM(D41:D41)</f>
        <v>0</v>
      </c>
      <c r="E40" s="373">
        <f>SUM(E41:E41)</f>
        <v>0</v>
      </c>
      <c r="G40" s="708">
        <f t="shared" si="0"/>
        <v>0</v>
      </c>
      <c r="I40" s="781">
        <v>0</v>
      </c>
      <c r="J40" s="781">
        <v>0</v>
      </c>
      <c r="K40" s="78">
        <f t="shared" si="3"/>
        <v>0</v>
      </c>
      <c r="L40" s="78">
        <f t="shared" si="3"/>
        <v>0</v>
      </c>
      <c r="M40" s="724"/>
      <c r="N40" s="724"/>
    </row>
    <row r="41" spans="1:31" x14ac:dyDescent="0.25">
      <c r="A41" s="61" t="s">
        <v>715</v>
      </c>
      <c r="B41" s="89">
        <v>581</v>
      </c>
      <c r="C41" s="90" t="s">
        <v>91</v>
      </c>
      <c r="D41" s="367">
        <v>0</v>
      </c>
      <c r="E41" s="368">
        <v>0</v>
      </c>
      <c r="G41" s="708">
        <f t="shared" si="0"/>
        <v>0</v>
      </c>
      <c r="I41" s="725">
        <v>0</v>
      </c>
      <c r="J41" s="725">
        <v>0</v>
      </c>
      <c r="K41" s="725">
        <f t="shared" si="3"/>
        <v>0</v>
      </c>
      <c r="L41" s="725">
        <f t="shared" si="3"/>
        <v>0</v>
      </c>
      <c r="M41" s="724"/>
      <c r="N41" s="724"/>
    </row>
    <row r="42" spans="1:31" ht="13.9" customHeight="1" x14ac:dyDescent="0.25">
      <c r="A42" s="61" t="s">
        <v>335</v>
      </c>
      <c r="B42" s="89" t="s">
        <v>716</v>
      </c>
      <c r="C42" s="90" t="s">
        <v>93</v>
      </c>
      <c r="D42" s="365">
        <f>D43</f>
        <v>1694</v>
      </c>
      <c r="E42" s="373">
        <f>E43</f>
        <v>6408</v>
      </c>
      <c r="G42" s="708">
        <f t="shared" si="0"/>
        <v>8102</v>
      </c>
      <c r="I42" s="781">
        <v>10147</v>
      </c>
      <c r="J42" s="781">
        <v>14488</v>
      </c>
      <c r="K42" s="78">
        <f t="shared" si="3"/>
        <v>-8453</v>
      </c>
      <c r="L42" s="78">
        <f t="shared" si="3"/>
        <v>-8080</v>
      </c>
      <c r="M42" s="724">
        <f t="shared" si="2"/>
        <v>-0.83305410466147634</v>
      </c>
      <c r="N42" s="724">
        <f t="shared" si="2"/>
        <v>-0.5577029265599116</v>
      </c>
    </row>
    <row r="43" spans="1:31" ht="14.25" customHeight="1" x14ac:dyDescent="0.25">
      <c r="A43" s="61" t="s">
        <v>717</v>
      </c>
      <c r="B43" s="89">
        <v>59</v>
      </c>
      <c r="C43" s="90" t="s">
        <v>96</v>
      </c>
      <c r="D43" s="367">
        <v>1694</v>
      </c>
      <c r="E43" s="368">
        <v>6408</v>
      </c>
      <c r="G43" s="708">
        <f t="shared" si="0"/>
        <v>8102</v>
      </c>
      <c r="I43" s="725">
        <v>10147</v>
      </c>
      <c r="J43" s="725">
        <v>14488</v>
      </c>
      <c r="K43" s="725">
        <f t="shared" si="3"/>
        <v>-8453</v>
      </c>
      <c r="L43" s="725">
        <f t="shared" si="3"/>
        <v>-8080</v>
      </c>
      <c r="M43" s="726">
        <f t="shared" si="2"/>
        <v>-0.83305410466147634</v>
      </c>
      <c r="N43" s="726">
        <f t="shared" si="2"/>
        <v>-0.5577029265599116</v>
      </c>
      <c r="V43" s="19" t="s">
        <v>1269</v>
      </c>
      <c r="W43" s="19" t="s">
        <v>1266</v>
      </c>
    </row>
    <row r="44" spans="1:31" ht="26.25" thickBot="1" x14ac:dyDescent="0.3">
      <c r="A44" s="100" t="s">
        <v>336</v>
      </c>
      <c r="B44" s="91" t="s">
        <v>760</v>
      </c>
      <c r="C44" s="90" t="s">
        <v>99</v>
      </c>
      <c r="D44" s="412">
        <f>D7+D14+D18+D24+D26+D34+D40+D42</f>
        <v>14835899</v>
      </c>
      <c r="E44" s="413">
        <f>E7+E14+E18+E24+E26+E34+E40+E42</f>
        <v>399461</v>
      </c>
      <c r="G44" s="708">
        <f t="shared" si="0"/>
        <v>15235360</v>
      </c>
      <c r="H44" s="19">
        <f>D44/G44</f>
        <v>0.97378066550445808</v>
      </c>
      <c r="I44" s="781">
        <v>14120739</v>
      </c>
      <c r="J44" s="781">
        <v>420002</v>
      </c>
      <c r="K44" s="78">
        <f t="shared" si="3"/>
        <v>715160</v>
      </c>
      <c r="L44" s="78">
        <f t="shared" si="3"/>
        <v>-20541</v>
      </c>
      <c r="M44" s="724">
        <f t="shared" si="2"/>
        <v>5.0646074543265758E-2</v>
      </c>
      <c r="N44" s="724">
        <f t="shared" si="2"/>
        <v>-4.8906909967095395E-2</v>
      </c>
      <c r="P44" s="838">
        <f>D44/(D44+E44)</f>
        <v>0.97378066550445808</v>
      </c>
      <c r="V44" s="78">
        <f>I44+J44</f>
        <v>14540741</v>
      </c>
      <c r="W44" s="78">
        <f>G44-V44</f>
        <v>694619</v>
      </c>
      <c r="X44" s="591">
        <f>W44/V44</f>
        <v>4.7770536590948154E-2</v>
      </c>
    </row>
    <row r="45" spans="1:31" ht="12.75" customHeight="1" thickBot="1" x14ac:dyDescent="0.3">
      <c r="A45" s="1336" t="s">
        <v>337</v>
      </c>
      <c r="B45" s="1337"/>
      <c r="C45" s="1337"/>
      <c r="D45" s="1337"/>
      <c r="E45" s="1338"/>
      <c r="AA45" s="85"/>
      <c r="AB45" s="85"/>
      <c r="AC45" s="85"/>
      <c r="AD45" s="102"/>
    </row>
    <row r="46" spans="1:31" ht="12.75" customHeight="1" x14ac:dyDescent="0.25">
      <c r="A46" s="72" t="s">
        <v>718</v>
      </c>
      <c r="B46" s="92" t="s">
        <v>753</v>
      </c>
      <c r="C46" s="90" t="s">
        <v>103</v>
      </c>
      <c r="D46" s="365">
        <f>SUM(D47:D47)</f>
        <v>9913953</v>
      </c>
      <c r="E46" s="366">
        <f>SUM(E47:E47)</f>
        <v>0</v>
      </c>
      <c r="F46" s="846">
        <f>E46/E66</f>
        <v>0</v>
      </c>
      <c r="G46" s="708">
        <f t="shared" si="0"/>
        <v>9913953</v>
      </c>
      <c r="J46" s="85" t="s">
        <v>1192</v>
      </c>
      <c r="O46" s="85">
        <f>J47</f>
        <v>2024</v>
      </c>
      <c r="S46" s="85">
        <f>K47</f>
        <v>2023</v>
      </c>
      <c r="V46" s="19" t="str">
        <f>V43</f>
        <v>UK 2023</v>
      </c>
      <c r="W46" s="19" t="str">
        <f>W43</f>
        <v>2024-2023</v>
      </c>
      <c r="AA46" s="78"/>
      <c r="AB46" s="78"/>
      <c r="AC46" s="78"/>
      <c r="AD46" s="724"/>
    </row>
    <row r="47" spans="1:31" ht="12.75" customHeight="1" x14ac:dyDescent="0.25">
      <c r="A47" s="61" t="s">
        <v>719</v>
      </c>
      <c r="B47" s="93">
        <v>691</v>
      </c>
      <c r="C47" s="90" t="s">
        <v>105</v>
      </c>
      <c r="D47" s="367">
        <v>9913953</v>
      </c>
      <c r="E47" s="368">
        <v>0</v>
      </c>
      <c r="F47" s="846"/>
      <c r="G47" s="708">
        <f t="shared" si="0"/>
        <v>9913953</v>
      </c>
      <c r="J47" s="85">
        <f>G4</f>
        <v>2024</v>
      </c>
      <c r="K47" s="85">
        <f>I4</f>
        <v>2023</v>
      </c>
      <c r="O47" s="102" t="s">
        <v>1114</v>
      </c>
      <c r="P47" s="102" t="s">
        <v>1115</v>
      </c>
      <c r="S47" s="102" t="s">
        <v>1114</v>
      </c>
      <c r="T47" s="102" t="s">
        <v>1115</v>
      </c>
      <c r="V47" s="78">
        <f>9463670+0</f>
        <v>9463670</v>
      </c>
      <c r="W47" s="78">
        <f>G47-V47</f>
        <v>450283</v>
      </c>
      <c r="X47" s="591">
        <f>W47/V47</f>
        <v>4.7580167102191859E-2</v>
      </c>
      <c r="AA47" s="78"/>
      <c r="AB47" s="78"/>
      <c r="AC47" s="78"/>
      <c r="AD47" s="724"/>
    </row>
    <row r="48" spans="1:31" ht="12.75" customHeight="1" x14ac:dyDescent="0.25">
      <c r="A48" s="61" t="s">
        <v>720</v>
      </c>
      <c r="B48" s="92" t="s">
        <v>721</v>
      </c>
      <c r="C48" s="90" t="s">
        <v>107</v>
      </c>
      <c r="D48" s="365">
        <f>SUM(D49:D51)</f>
        <v>2067</v>
      </c>
      <c r="E48" s="369">
        <f>SUM(E49:E51)</f>
        <v>0</v>
      </c>
      <c r="F48" s="846"/>
      <c r="G48" s="708">
        <f t="shared" si="0"/>
        <v>2067</v>
      </c>
      <c r="I48" s="841" t="s">
        <v>1193</v>
      </c>
      <c r="J48" s="78">
        <f>G48+G52+G53+G60</f>
        <v>5401357</v>
      </c>
      <c r="K48" s="78">
        <v>5200854</v>
      </c>
      <c r="L48" s="78">
        <f>J48-K48</f>
        <v>200503</v>
      </c>
      <c r="M48" s="724">
        <f>L48/K48</f>
        <v>3.8551937816366309E-2</v>
      </c>
      <c r="N48" s="1104" t="s">
        <v>1193</v>
      </c>
      <c r="O48" s="78">
        <f>D48+SUM(D52:D53)+D60</f>
        <v>4901054</v>
      </c>
      <c r="P48" s="78">
        <f>E48+SUM(E52:E53)+E60</f>
        <v>500303</v>
      </c>
      <c r="Q48" s="727">
        <f>SUM(O48:P48)</f>
        <v>5401357</v>
      </c>
      <c r="R48" s="1105" t="s">
        <v>1193</v>
      </c>
      <c r="S48" s="78">
        <v>4686986</v>
      </c>
      <c r="T48" s="78">
        <v>513868</v>
      </c>
      <c r="U48" s="727">
        <f>SUM(S48:T48)</f>
        <v>5200854</v>
      </c>
      <c r="X48" s="78"/>
      <c r="Y48" s="78"/>
      <c r="AA48" s="78"/>
      <c r="AB48" s="78"/>
      <c r="AC48" s="78"/>
      <c r="AD48" s="724"/>
      <c r="AE48" s="78"/>
    </row>
    <row r="49" spans="1:30" ht="12.75" customHeight="1" x14ac:dyDescent="0.25">
      <c r="A49" s="61" t="s">
        <v>722</v>
      </c>
      <c r="B49" s="93">
        <v>681</v>
      </c>
      <c r="C49" s="90" t="s">
        <v>110</v>
      </c>
      <c r="D49" s="370" t="s">
        <v>1330</v>
      </c>
      <c r="E49" s="368" t="s">
        <v>1330</v>
      </c>
      <c r="F49" s="846"/>
      <c r="G49" s="708">
        <f t="shared" si="0"/>
        <v>0</v>
      </c>
      <c r="J49" s="725">
        <f>G66-G46</f>
        <v>5401357</v>
      </c>
      <c r="K49" s="725">
        <f>(14150656+513868)-(9463670+0)</f>
        <v>5200854</v>
      </c>
      <c r="L49" s="726">
        <f>K49/K48</f>
        <v>1</v>
      </c>
      <c r="O49" s="725">
        <f>D66-D46</f>
        <v>4901054</v>
      </c>
      <c r="P49" s="725">
        <f>E66-E46</f>
        <v>500303</v>
      </c>
      <c r="Q49" s="1164">
        <f>J49-Q48</f>
        <v>0</v>
      </c>
      <c r="AA49" s="78"/>
      <c r="AB49" s="78"/>
      <c r="AC49" s="78"/>
      <c r="AD49" s="724"/>
    </row>
    <row r="50" spans="1:30" ht="12.75" customHeight="1" x14ac:dyDescent="0.25">
      <c r="A50" s="61" t="s">
        <v>996</v>
      </c>
      <c r="B50" s="93">
        <v>682</v>
      </c>
      <c r="C50" s="90" t="s">
        <v>113</v>
      </c>
      <c r="D50" s="367">
        <v>2067</v>
      </c>
      <c r="E50" s="368" t="s">
        <v>1330</v>
      </c>
      <c r="F50" s="846"/>
      <c r="G50" s="708">
        <f t="shared" si="0"/>
        <v>2067</v>
      </c>
      <c r="N50" s="793"/>
      <c r="AA50" s="78"/>
      <c r="AB50" s="78"/>
      <c r="AC50" s="78"/>
      <c r="AD50" s="724"/>
    </row>
    <row r="51" spans="1:30" ht="12.75" customHeight="1" x14ac:dyDescent="0.25">
      <c r="A51" s="61" t="s">
        <v>724</v>
      </c>
      <c r="B51" s="93">
        <v>684</v>
      </c>
      <c r="C51" s="90" t="s">
        <v>116</v>
      </c>
      <c r="D51" s="370" t="s">
        <v>1330</v>
      </c>
      <c r="E51" s="368" t="s">
        <v>1330</v>
      </c>
      <c r="F51" s="846"/>
      <c r="G51" s="708">
        <f t="shared" si="0"/>
        <v>0</v>
      </c>
      <c r="J51" s="85">
        <f>J47</f>
        <v>2024</v>
      </c>
      <c r="K51" s="85">
        <f>K47</f>
        <v>2023</v>
      </c>
      <c r="Q51" s="85">
        <f>S46</f>
        <v>2023</v>
      </c>
      <c r="AA51" s="78"/>
      <c r="AB51" s="78"/>
      <c r="AC51" s="78"/>
      <c r="AD51" s="724"/>
    </row>
    <row r="52" spans="1:30" x14ac:dyDescent="0.25">
      <c r="A52" s="61" t="s">
        <v>725</v>
      </c>
      <c r="B52" s="94" t="s">
        <v>726</v>
      </c>
      <c r="C52" s="90" t="s">
        <v>119</v>
      </c>
      <c r="D52" s="365">
        <v>2049117</v>
      </c>
      <c r="E52" s="373">
        <v>464670</v>
      </c>
      <c r="F52" s="846">
        <f>E52/E66</f>
        <v>0.92877716104040953</v>
      </c>
      <c r="G52" s="708">
        <f t="shared" si="0"/>
        <v>2513787</v>
      </c>
      <c r="I52" s="85" t="s">
        <v>1116</v>
      </c>
      <c r="J52" s="78">
        <f>G52</f>
        <v>2513787</v>
      </c>
      <c r="K52" s="78">
        <v>2404730</v>
      </c>
      <c r="L52" s="78">
        <f>J52-K52</f>
        <v>109057</v>
      </c>
      <c r="M52" s="792">
        <f>L52/K52</f>
        <v>4.5351037330594285E-2</v>
      </c>
      <c r="P52" s="1106" t="s">
        <v>1202</v>
      </c>
      <c r="Q52" s="78">
        <v>474642</v>
      </c>
      <c r="R52" s="78">
        <f>E52-Q52</f>
        <v>-9972</v>
      </c>
      <c r="S52" s="724">
        <f>R52/Q52</f>
        <v>-2.1009518753081269E-2</v>
      </c>
      <c r="AA52" s="78"/>
      <c r="AB52" s="78"/>
      <c r="AC52" s="78"/>
      <c r="AD52" s="792"/>
    </row>
    <row r="53" spans="1:30" x14ac:dyDescent="0.25">
      <c r="A53" s="61" t="s">
        <v>727</v>
      </c>
      <c r="B53" s="92" t="s">
        <v>728</v>
      </c>
      <c r="C53" s="90" t="s">
        <v>122</v>
      </c>
      <c r="D53" s="365">
        <f>SUM(D54:D59)</f>
        <v>2849468</v>
      </c>
      <c r="E53" s="373">
        <f>SUM(E54:E59)</f>
        <v>35159</v>
      </c>
      <c r="F53" s="846">
        <f>E53/E66</f>
        <v>7.0275413099661607E-2</v>
      </c>
      <c r="G53" s="708">
        <f t="shared" si="0"/>
        <v>2884627</v>
      </c>
      <c r="I53" s="85" t="s">
        <v>1117</v>
      </c>
      <c r="J53" s="78">
        <f>G53</f>
        <v>2884627</v>
      </c>
      <c r="K53" s="78">
        <v>2753232</v>
      </c>
      <c r="L53" s="78">
        <f>J53-K53</f>
        <v>131395</v>
      </c>
      <c r="M53" s="792">
        <f>L53/K53</f>
        <v>4.7723911388506311E-2</v>
      </c>
      <c r="AA53" s="78"/>
      <c r="AB53" s="78"/>
      <c r="AC53" s="78"/>
      <c r="AD53" s="792"/>
    </row>
    <row r="54" spans="1:30" x14ac:dyDescent="0.25">
      <c r="A54" s="61" t="s">
        <v>729</v>
      </c>
      <c r="B54" s="94">
        <v>641.64200000000005</v>
      </c>
      <c r="C54" s="90" t="s">
        <v>124</v>
      </c>
      <c r="D54" s="367">
        <v>7453</v>
      </c>
      <c r="E54" s="368">
        <v>377</v>
      </c>
      <c r="G54" s="708">
        <f t="shared" si="0"/>
        <v>7830</v>
      </c>
      <c r="J54" s="725">
        <f t="shared" ref="J54:J59" si="4">G54</f>
        <v>7830</v>
      </c>
      <c r="K54" s="725">
        <v>8208</v>
      </c>
      <c r="L54" s="725">
        <f t="shared" ref="L54:L59" si="5">J54-K54</f>
        <v>-378</v>
      </c>
      <c r="M54" s="726">
        <f t="shared" ref="M54:M59" si="6">L54/K54</f>
        <v>-4.6052631578947366E-2</v>
      </c>
      <c r="AA54" s="78"/>
      <c r="AB54" s="78"/>
      <c r="AC54" s="78"/>
      <c r="AD54" s="724"/>
    </row>
    <row r="55" spans="1:30" x14ac:dyDescent="0.25">
      <c r="A55" s="61" t="s">
        <v>730</v>
      </c>
      <c r="B55" s="95">
        <v>643</v>
      </c>
      <c r="C55" s="90" t="s">
        <v>127</v>
      </c>
      <c r="D55" s="367">
        <v>0</v>
      </c>
      <c r="E55" s="368">
        <v>0</v>
      </c>
      <c r="G55" s="708">
        <f t="shared" si="0"/>
        <v>0</v>
      </c>
      <c r="J55" s="725">
        <f t="shared" si="4"/>
        <v>0</v>
      </c>
      <c r="K55" s="725">
        <v>0</v>
      </c>
      <c r="L55" s="725">
        <f t="shared" si="5"/>
        <v>0</v>
      </c>
      <c r="M55" s="726" t="e">
        <f t="shared" si="6"/>
        <v>#DIV/0!</v>
      </c>
      <c r="AA55" s="78"/>
      <c r="AB55" s="78"/>
      <c r="AC55" s="78"/>
      <c r="AD55" s="724"/>
    </row>
    <row r="56" spans="1:30" x14ac:dyDescent="0.25">
      <c r="A56" s="61" t="s">
        <v>731</v>
      </c>
      <c r="B56" s="93">
        <v>644</v>
      </c>
      <c r="C56" s="90" t="s">
        <v>130</v>
      </c>
      <c r="D56" s="367">
        <v>352688</v>
      </c>
      <c r="E56" s="368">
        <v>2418</v>
      </c>
      <c r="F56" s="19">
        <f>E56/E53</f>
        <v>6.8773287067322733E-2</v>
      </c>
      <c r="G56" s="708">
        <f t="shared" si="0"/>
        <v>355106</v>
      </c>
      <c r="J56" s="725">
        <f t="shared" si="4"/>
        <v>355106</v>
      </c>
      <c r="K56" s="725">
        <v>385316</v>
      </c>
      <c r="L56" s="725">
        <f t="shared" si="5"/>
        <v>-30210</v>
      </c>
      <c r="M56" s="726">
        <f t="shared" si="6"/>
        <v>-7.8403180765916805E-2</v>
      </c>
      <c r="AA56" s="78"/>
      <c r="AB56" s="78"/>
      <c r="AC56" s="78"/>
      <c r="AD56" s="724"/>
    </row>
    <row r="57" spans="1:30" x14ac:dyDescent="0.25">
      <c r="A57" s="61" t="s">
        <v>732</v>
      </c>
      <c r="B57" s="93">
        <v>645</v>
      </c>
      <c r="C57" s="90" t="s">
        <v>133</v>
      </c>
      <c r="D57" s="367">
        <v>47087</v>
      </c>
      <c r="E57" s="368">
        <v>515</v>
      </c>
      <c r="G57" s="708">
        <f t="shared" si="0"/>
        <v>47602</v>
      </c>
      <c r="J57" s="725">
        <f t="shared" si="4"/>
        <v>47602</v>
      </c>
      <c r="K57" s="725">
        <v>42089</v>
      </c>
      <c r="L57" s="725">
        <f t="shared" si="5"/>
        <v>5513</v>
      </c>
      <c r="M57" s="726">
        <f t="shared" si="6"/>
        <v>0.13098434270236878</v>
      </c>
      <c r="AA57" s="78"/>
      <c r="AB57" s="78"/>
      <c r="AC57" s="78"/>
      <c r="AD57" s="724"/>
    </row>
    <row r="58" spans="1:30" x14ac:dyDescent="0.25">
      <c r="A58" s="61" t="s">
        <v>733</v>
      </c>
      <c r="B58" s="93">
        <v>648</v>
      </c>
      <c r="C58" s="90" t="s">
        <v>135</v>
      </c>
      <c r="D58" s="367">
        <v>817433</v>
      </c>
      <c r="E58" s="368">
        <v>11767</v>
      </c>
      <c r="G58" s="708">
        <f t="shared" si="0"/>
        <v>829200</v>
      </c>
      <c r="J58" s="725">
        <f t="shared" si="4"/>
        <v>829200</v>
      </c>
      <c r="K58" s="725">
        <v>770123</v>
      </c>
      <c r="L58" s="725">
        <f t="shared" si="5"/>
        <v>59077</v>
      </c>
      <c r="M58" s="726">
        <f t="shared" si="6"/>
        <v>7.6711122768700582E-2</v>
      </c>
      <c r="AA58" s="78"/>
      <c r="AB58" s="78"/>
      <c r="AC58" s="78"/>
      <c r="AD58" s="724"/>
    </row>
    <row r="59" spans="1:30" x14ac:dyDescent="0.25">
      <c r="A59" s="61" t="s">
        <v>734</v>
      </c>
      <c r="B59" s="93">
        <v>649</v>
      </c>
      <c r="C59" s="90" t="s">
        <v>138</v>
      </c>
      <c r="D59" s="367">
        <v>1624807</v>
      </c>
      <c r="E59" s="368">
        <v>20082</v>
      </c>
      <c r="F59" s="19">
        <f>E59/E53</f>
        <v>0.57117665462612699</v>
      </c>
      <c r="G59" s="708">
        <f t="shared" si="0"/>
        <v>1644889</v>
      </c>
      <c r="J59" s="725">
        <f t="shared" si="4"/>
        <v>1644889</v>
      </c>
      <c r="K59" s="725">
        <v>1547496</v>
      </c>
      <c r="L59" s="725">
        <f t="shared" si="5"/>
        <v>97393</v>
      </c>
      <c r="M59" s="726">
        <f t="shared" si="6"/>
        <v>6.2935865423884782E-2</v>
      </c>
      <c r="R59" s="1082"/>
      <c r="AA59" s="78"/>
      <c r="AB59" s="78"/>
      <c r="AC59" s="78"/>
      <c r="AD59" s="724"/>
    </row>
    <row r="60" spans="1:30" x14ac:dyDescent="0.25">
      <c r="A60" s="61" t="s">
        <v>735</v>
      </c>
      <c r="B60" s="92" t="s">
        <v>736</v>
      </c>
      <c r="C60" s="90" t="s">
        <v>141</v>
      </c>
      <c r="D60" s="365">
        <f>SUM(D61:D65)</f>
        <v>402</v>
      </c>
      <c r="E60" s="373">
        <f>SUM(E61:E65)</f>
        <v>474</v>
      </c>
      <c r="G60" s="708">
        <f t="shared" si="0"/>
        <v>876</v>
      </c>
      <c r="J60" s="85">
        <f>J47</f>
        <v>2024</v>
      </c>
      <c r="K60" s="85">
        <f>K47</f>
        <v>2023</v>
      </c>
      <c r="R60" s="1082"/>
      <c r="AA60" s="78"/>
      <c r="AB60" s="78"/>
      <c r="AC60" s="78"/>
      <c r="AD60" s="724"/>
    </row>
    <row r="61" spans="1:30" x14ac:dyDescent="0.25">
      <c r="A61" s="61" t="s">
        <v>737</v>
      </c>
      <c r="B61" s="93">
        <v>652</v>
      </c>
      <c r="C61" s="90" t="s">
        <v>144</v>
      </c>
      <c r="D61" s="367">
        <v>248</v>
      </c>
      <c r="E61" s="368">
        <v>0</v>
      </c>
      <c r="G61" s="708">
        <f t="shared" si="0"/>
        <v>248</v>
      </c>
      <c r="H61" s="728"/>
      <c r="I61" s="1103" t="s">
        <v>1201</v>
      </c>
      <c r="J61" s="1225">
        <v>758480.62745000026</v>
      </c>
      <c r="K61" s="78">
        <v>758480.62745000026</v>
      </c>
      <c r="L61" s="78">
        <f>J61-K61</f>
        <v>0</v>
      </c>
      <c r="M61" s="724">
        <f>L61/K61</f>
        <v>0</v>
      </c>
      <c r="R61" s="1082"/>
      <c r="S61" s="1083"/>
      <c r="AA61" s="78"/>
      <c r="AB61" s="78"/>
      <c r="AC61" s="78"/>
      <c r="AD61" s="724"/>
    </row>
    <row r="62" spans="1:30" x14ac:dyDescent="0.25">
      <c r="A62" s="61" t="s">
        <v>738</v>
      </c>
      <c r="B62" s="93">
        <v>653</v>
      </c>
      <c r="C62" s="90" t="s">
        <v>146</v>
      </c>
      <c r="D62" s="367">
        <v>0</v>
      </c>
      <c r="E62" s="368">
        <v>0</v>
      </c>
      <c r="G62" s="708">
        <f t="shared" si="0"/>
        <v>0</v>
      </c>
      <c r="J62" s="838">
        <f>J61/J59</f>
        <v>0.46111356295166439</v>
      </c>
      <c r="K62" s="724">
        <f>K61/K59</f>
        <v>0.49013414409471834</v>
      </c>
      <c r="AA62" s="78"/>
      <c r="AB62" s="78"/>
      <c r="AC62" s="78"/>
      <c r="AD62" s="724"/>
    </row>
    <row r="63" spans="1:30" x14ac:dyDescent="0.25">
      <c r="A63" s="61" t="s">
        <v>739</v>
      </c>
      <c r="B63" s="93">
        <v>654</v>
      </c>
      <c r="C63" s="90" t="s">
        <v>149</v>
      </c>
      <c r="D63" s="367">
        <v>154</v>
      </c>
      <c r="E63" s="368">
        <v>474</v>
      </c>
      <c r="G63" s="708">
        <f t="shared" si="0"/>
        <v>628</v>
      </c>
      <c r="AA63" s="78"/>
      <c r="AB63" s="78"/>
      <c r="AC63" s="78"/>
      <c r="AD63" s="724"/>
    </row>
    <row r="64" spans="1:30" x14ac:dyDescent="0.25">
      <c r="A64" s="61" t="s">
        <v>740</v>
      </c>
      <c r="B64" s="93">
        <v>655</v>
      </c>
      <c r="C64" s="90" t="s">
        <v>152</v>
      </c>
      <c r="D64" s="367">
        <v>0</v>
      </c>
      <c r="E64" s="368">
        <v>0</v>
      </c>
      <c r="G64" s="708">
        <f t="shared" si="0"/>
        <v>0</v>
      </c>
      <c r="I64" s="19" t="s">
        <v>1248</v>
      </c>
      <c r="AA64" s="78"/>
      <c r="AB64" s="78"/>
      <c r="AC64" s="78"/>
      <c r="AD64" s="724"/>
    </row>
    <row r="65" spans="1:30" x14ac:dyDescent="0.25">
      <c r="A65" s="61" t="s">
        <v>741</v>
      </c>
      <c r="B65" s="93">
        <v>657</v>
      </c>
      <c r="C65" s="90" t="s">
        <v>154</v>
      </c>
      <c r="D65" s="367">
        <v>0</v>
      </c>
      <c r="E65" s="368">
        <v>0</v>
      </c>
      <c r="G65" s="708">
        <f t="shared" si="0"/>
        <v>0</v>
      </c>
      <c r="I65" s="102" t="s">
        <v>1114</v>
      </c>
      <c r="J65" s="102" t="s">
        <v>1115</v>
      </c>
      <c r="V65" s="19" t="s">
        <v>1269</v>
      </c>
      <c r="W65" s="19" t="s">
        <v>1266</v>
      </c>
      <c r="AA65" s="78"/>
      <c r="AB65" s="78"/>
      <c r="AC65" s="78"/>
      <c r="AD65" s="724"/>
    </row>
    <row r="66" spans="1:30" ht="15" customHeight="1" thickBot="1" x14ac:dyDescent="0.3">
      <c r="A66" s="100" t="s">
        <v>338</v>
      </c>
      <c r="B66" s="91" t="s">
        <v>742</v>
      </c>
      <c r="C66" s="96" t="s">
        <v>157</v>
      </c>
      <c r="D66" s="412">
        <f>D46+D48+D52+D53+D60</f>
        <v>14815007</v>
      </c>
      <c r="E66" s="413">
        <f>E46+E48+E52+E53+E60</f>
        <v>500303</v>
      </c>
      <c r="G66" s="708">
        <f t="shared" si="0"/>
        <v>15315310</v>
      </c>
      <c r="I66" s="78">
        <v>14150656</v>
      </c>
      <c r="J66" s="78">
        <v>513868</v>
      </c>
      <c r="K66" s="78">
        <f t="shared" ref="K66:L68" si="7">D66-I66</f>
        <v>664351</v>
      </c>
      <c r="L66" s="78">
        <f t="shared" si="7"/>
        <v>-13565</v>
      </c>
      <c r="M66" s="724">
        <f>K66/I66</f>
        <v>4.6948424157862365E-2</v>
      </c>
      <c r="N66" s="724">
        <f>L66/J66</f>
        <v>-2.6397829792865094E-2</v>
      </c>
      <c r="O66" s="724">
        <f>(K66+L66)/(I66+J66)</f>
        <v>4.4378255987033745E-2</v>
      </c>
      <c r="V66" s="78">
        <f>I66+J66</f>
        <v>14664524</v>
      </c>
      <c r="W66" s="78">
        <f>G66-V66</f>
        <v>650786</v>
      </c>
      <c r="X66" s="591">
        <f>W66/V66</f>
        <v>4.4378255987033745E-2</v>
      </c>
      <c r="AA66" s="78"/>
      <c r="AB66" s="78"/>
      <c r="AC66" s="78"/>
      <c r="AD66" s="724"/>
    </row>
    <row r="67" spans="1:30" x14ac:dyDescent="0.25">
      <c r="A67" s="58" t="s">
        <v>339</v>
      </c>
      <c r="B67" s="92" t="s">
        <v>755</v>
      </c>
      <c r="C67" s="88" t="s">
        <v>160</v>
      </c>
      <c r="D67" s="414">
        <f>D66-D44+D42</f>
        <v>-19198</v>
      </c>
      <c r="E67" s="415">
        <f>E66-E44+E42</f>
        <v>107250</v>
      </c>
      <c r="G67" s="708">
        <f t="shared" si="0"/>
        <v>88052</v>
      </c>
      <c r="I67" s="78">
        <v>40064</v>
      </c>
      <c r="J67" s="78">
        <v>108354</v>
      </c>
      <c r="K67" s="78">
        <f t="shared" si="7"/>
        <v>-59262</v>
      </c>
      <c r="L67" s="78">
        <f t="shared" si="7"/>
        <v>-1104</v>
      </c>
      <c r="N67" s="838">
        <f>D66/(D66+E66)</f>
        <v>0.96733314572150353</v>
      </c>
      <c r="O67" s="838">
        <f>D67/(D67+E67)</f>
        <v>-0.21803025484940716</v>
      </c>
      <c r="R67" s="78"/>
    </row>
    <row r="68" spans="1:30" x14ac:dyDescent="0.25">
      <c r="A68" s="97" t="s">
        <v>340</v>
      </c>
      <c r="B68" s="92" t="s">
        <v>754</v>
      </c>
      <c r="C68" s="90" t="s">
        <v>163</v>
      </c>
      <c r="D68" s="416">
        <f>D67-D42</f>
        <v>-20892</v>
      </c>
      <c r="E68" s="417">
        <f>E67-E42</f>
        <v>100842</v>
      </c>
      <c r="G68" s="708">
        <f t="shared" si="0"/>
        <v>79950</v>
      </c>
      <c r="I68" s="78">
        <v>29917</v>
      </c>
      <c r="J68" s="78">
        <v>93866</v>
      </c>
      <c r="K68" s="78">
        <f t="shared" si="7"/>
        <v>-50809</v>
      </c>
      <c r="L68" s="78">
        <f t="shared" si="7"/>
        <v>6976</v>
      </c>
      <c r="M68" s="724"/>
      <c r="N68" s="724">
        <f>L68/J68</f>
        <v>7.4318709649926484E-2</v>
      </c>
    </row>
    <row r="69" spans="1:30" x14ac:dyDescent="0.25">
      <c r="A69" s="58"/>
      <c r="B69" s="98"/>
      <c r="C69" s="90"/>
      <c r="D69" s="1326" t="s">
        <v>757</v>
      </c>
      <c r="E69" s="1327"/>
    </row>
    <row r="70" spans="1:30" x14ac:dyDescent="0.25">
      <c r="A70" s="58" t="s">
        <v>743</v>
      </c>
      <c r="B70" s="99" t="s">
        <v>744</v>
      </c>
      <c r="C70" s="90" t="s">
        <v>166</v>
      </c>
      <c r="D70" s="1328">
        <f>+D67+E67</f>
        <v>88052</v>
      </c>
      <c r="E70" s="1329"/>
      <c r="I70" s="78">
        <v>148418</v>
      </c>
      <c r="K70" s="19">
        <f>(D70-I70)/I70</f>
        <v>-0.40672964195717498</v>
      </c>
    </row>
    <row r="71" spans="1:30" ht="13.5" thickBot="1" x14ac:dyDescent="0.3">
      <c r="A71" s="100" t="s">
        <v>745</v>
      </c>
      <c r="B71" s="74" t="s">
        <v>746</v>
      </c>
      <c r="C71" s="96" t="s">
        <v>168</v>
      </c>
      <c r="D71" s="1330">
        <f>+D68+E68</f>
        <v>79950</v>
      </c>
      <c r="E71" s="1331"/>
      <c r="I71" s="78">
        <v>123783</v>
      </c>
      <c r="K71" s="19">
        <f>(D71-I71)/I71</f>
        <v>-0.3541116308378372</v>
      </c>
    </row>
    <row r="72" spans="1:30" ht="12.75" customHeight="1" x14ac:dyDescent="0.25">
      <c r="A72" s="101"/>
      <c r="B72" s="80"/>
      <c r="C72" s="80"/>
    </row>
    <row r="73" spans="1:30" ht="12.75" customHeight="1" x14ac:dyDescent="0.25">
      <c r="A73" s="76" t="s">
        <v>467</v>
      </c>
      <c r="B73" s="80"/>
      <c r="C73" s="80"/>
      <c r="I73" s="78">
        <f>G60+G50</f>
        <v>2943</v>
      </c>
      <c r="J73" s="85" t="s">
        <v>1118</v>
      </c>
    </row>
    <row r="74" spans="1:30" ht="12.75" customHeight="1" x14ac:dyDescent="0.25">
      <c r="A74" s="19" t="s">
        <v>747</v>
      </c>
      <c r="B74" s="80"/>
      <c r="C74" s="80"/>
      <c r="I74" s="793">
        <f>I73/J48</f>
        <v>5.4486307792652843E-4</v>
      </c>
      <c r="J74" s="19" t="s">
        <v>1270</v>
      </c>
    </row>
    <row r="75" spans="1:30" x14ac:dyDescent="0.25">
      <c r="A75" s="19" t="s">
        <v>748</v>
      </c>
      <c r="B75" s="81"/>
      <c r="C75" s="81"/>
    </row>
    <row r="76" spans="1:30" x14ac:dyDescent="0.25">
      <c r="A76" s="19" t="s">
        <v>668</v>
      </c>
      <c r="B76" s="81"/>
      <c r="C76" s="81"/>
    </row>
    <row r="77" spans="1:30" x14ac:dyDescent="0.25">
      <c r="A77" s="19" t="s">
        <v>669</v>
      </c>
    </row>
    <row r="79" spans="1:30" x14ac:dyDescent="0.25">
      <c r="G79" s="1226">
        <f>D71-'1'!E96</f>
        <v>0</v>
      </c>
      <c r="H79" s="711" t="s">
        <v>1120</v>
      </c>
    </row>
    <row r="80" spans="1:30" x14ac:dyDescent="0.25">
      <c r="E80" s="1226">
        <f>D71-G68</f>
        <v>0</v>
      </c>
    </row>
    <row r="81" spans="2:5" x14ac:dyDescent="0.25">
      <c r="B81" s="710"/>
    </row>
    <row r="82" spans="2:5" x14ac:dyDescent="0.25">
      <c r="E82" s="1195" t="s">
        <v>1112</v>
      </c>
    </row>
  </sheetData>
  <mergeCells count="9">
    <mergeCell ref="D69:E69"/>
    <mergeCell ref="D70:E70"/>
    <mergeCell ref="D71:E71"/>
    <mergeCell ref="A1:E1"/>
    <mergeCell ref="A2:E2"/>
    <mergeCell ref="A3:E3"/>
    <mergeCell ref="A4:E4"/>
    <mergeCell ref="B6:C6"/>
    <mergeCell ref="A45:E45"/>
  </mergeCells>
  <printOptions horizontalCentered="1" verticalCentered="1"/>
  <pageMargins left="0.70866141732283472" right="0" top="0.19685039370078741" bottom="0.19685039370078741" header="0.51181102362204722" footer="0.51181102362204722"/>
  <pageSetup paperSize="9" scale="79" orientation="portrait" r:id="rId1"/>
  <headerFooter alignWithMargins="0"/>
  <rowBreaks count="1" manualBreakCount="1">
    <brk id="44"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H81"/>
  <sheetViews>
    <sheetView zoomScaleNormal="100" workbookViewId="0">
      <pane ySplit="5" topLeftCell="A59" activePane="bottomLeft" state="frozenSplit"/>
      <selection activeCell="B151" sqref="B151"/>
      <selection pane="bottomLeft" activeCell="B151" sqref="B151"/>
    </sheetView>
  </sheetViews>
  <sheetFormatPr defaultColWidth="9.140625" defaultRowHeight="12.75" x14ac:dyDescent="0.25"/>
  <cols>
    <col min="1" max="1" width="60.42578125" style="76" customWidth="1"/>
    <col min="2" max="2" width="16.7109375" style="102" customWidth="1"/>
    <col min="3" max="3" width="9.140625" style="102"/>
    <col min="4" max="4" width="12.5703125" style="78" customWidth="1"/>
    <col min="5" max="5" width="15.140625" style="78" customWidth="1"/>
    <col min="6" max="6" width="14.140625" style="19" customWidth="1"/>
    <col min="7" max="7" width="10.85546875" style="19" customWidth="1"/>
    <col min="8" max="10" width="9.140625" style="19" customWidth="1"/>
    <col min="11" max="16384" width="9.140625" style="19"/>
  </cols>
  <sheetData>
    <row r="1" spans="1:5" ht="21" x14ac:dyDescent="0.25">
      <c r="A1" s="1339" t="s">
        <v>1029</v>
      </c>
      <c r="B1" s="1339"/>
      <c r="C1" s="1339"/>
      <c r="D1" s="1339"/>
      <c r="E1" s="1339"/>
    </row>
    <row r="2" spans="1:5" ht="12.75" customHeight="1" thickBot="1" x14ac:dyDescent="0.3">
      <c r="A2" s="1333"/>
      <c r="B2" s="1333"/>
      <c r="C2" s="1333"/>
      <c r="D2" s="1333"/>
      <c r="E2" s="1333"/>
    </row>
    <row r="3" spans="1:5" ht="27.95" customHeight="1" thickBot="1" x14ac:dyDescent="0.3">
      <c r="A3" s="1318" t="s">
        <v>670</v>
      </c>
      <c r="B3" s="1319"/>
      <c r="C3" s="1319"/>
      <c r="D3" s="1319"/>
      <c r="E3" s="1320"/>
    </row>
    <row r="4" spans="1:5" ht="15" customHeight="1" thickBot="1" x14ac:dyDescent="0.3">
      <c r="A4" s="1321" t="s">
        <v>441</v>
      </c>
      <c r="B4" s="1322"/>
      <c r="C4" s="1322"/>
      <c r="D4" s="1322"/>
      <c r="E4" s="1323"/>
    </row>
    <row r="5" spans="1:5" s="85" customFormat="1" ht="39" thickBot="1" x14ac:dyDescent="0.3">
      <c r="A5" s="82" t="s">
        <v>671</v>
      </c>
      <c r="B5" s="83" t="s">
        <v>564</v>
      </c>
      <c r="C5" s="84" t="s">
        <v>672</v>
      </c>
      <c r="D5" s="56" t="s">
        <v>758</v>
      </c>
      <c r="E5" s="57" t="s">
        <v>759</v>
      </c>
    </row>
    <row r="6" spans="1:5" s="85" customFormat="1" x14ac:dyDescent="0.25">
      <c r="A6" s="86" t="s">
        <v>333</v>
      </c>
      <c r="B6" s="1334"/>
      <c r="C6" s="1335"/>
      <c r="D6" s="59" t="s">
        <v>429</v>
      </c>
      <c r="E6" s="60" t="s">
        <v>430</v>
      </c>
    </row>
    <row r="7" spans="1:5" x14ac:dyDescent="0.25">
      <c r="A7" s="72" t="s">
        <v>673</v>
      </c>
      <c r="B7" s="87" t="s">
        <v>674</v>
      </c>
      <c r="C7" s="88" t="s">
        <v>2</v>
      </c>
      <c r="D7" s="371">
        <f>'2'!D7-'2b'!D7</f>
        <v>2467403.5959200002</v>
      </c>
      <c r="E7" s="372">
        <f>'2'!E7-'2b'!E7</f>
        <v>115793.91442</v>
      </c>
    </row>
    <row r="8" spans="1:5" x14ac:dyDescent="0.25">
      <c r="A8" s="61" t="s">
        <v>675</v>
      </c>
      <c r="B8" s="89" t="s">
        <v>676</v>
      </c>
      <c r="C8" s="90" t="s">
        <v>5</v>
      </c>
      <c r="D8" s="367">
        <f>'2'!D8-'2b'!D8</f>
        <v>961499.03431000002</v>
      </c>
      <c r="E8" s="368">
        <f>'2'!E8-'2b'!E8</f>
        <v>38538.281739999999</v>
      </c>
    </row>
    <row r="9" spans="1:5" x14ac:dyDescent="0.25">
      <c r="A9" s="61" t="s">
        <v>677</v>
      </c>
      <c r="B9" s="89">
        <v>504</v>
      </c>
      <c r="C9" s="90" t="s">
        <v>8</v>
      </c>
      <c r="D9" s="367">
        <f>'2'!D9-'2b'!D9</f>
        <v>13959</v>
      </c>
      <c r="E9" s="368">
        <f>'2'!E9-'2b'!E9</f>
        <v>19265.030930000001</v>
      </c>
    </row>
    <row r="10" spans="1:5" x14ac:dyDescent="0.25">
      <c r="A10" s="61" t="s">
        <v>678</v>
      </c>
      <c r="B10" s="89">
        <v>511</v>
      </c>
      <c r="C10" s="90" t="s">
        <v>11</v>
      </c>
      <c r="D10" s="367">
        <f>'2'!D10-'2b'!D10</f>
        <v>250979.99823999999</v>
      </c>
      <c r="E10" s="368">
        <f>'2'!E10-'2b'!E10</f>
        <v>10133.255620000002</v>
      </c>
    </row>
    <row r="11" spans="1:5" x14ac:dyDescent="0.25">
      <c r="A11" s="61" t="s">
        <v>679</v>
      </c>
      <c r="B11" s="89">
        <v>512</v>
      </c>
      <c r="C11" s="90" t="s">
        <v>14</v>
      </c>
      <c r="D11" s="367">
        <f>'2'!D11-'2b'!D11</f>
        <v>225069.25099999999</v>
      </c>
      <c r="E11" s="368">
        <f>'2'!E11-'2b'!E11</f>
        <v>1830.94</v>
      </c>
    </row>
    <row r="12" spans="1:5" x14ac:dyDescent="0.25">
      <c r="A12" s="61" t="s">
        <v>680</v>
      </c>
      <c r="B12" s="89">
        <v>513</v>
      </c>
      <c r="C12" s="90" t="s">
        <v>17</v>
      </c>
      <c r="D12" s="367">
        <f>'2'!D12-'2b'!D12</f>
        <v>18780</v>
      </c>
      <c r="E12" s="368">
        <f>'2'!E12-'2b'!E12</f>
        <v>8737.2991700000002</v>
      </c>
    </row>
    <row r="13" spans="1:5" x14ac:dyDescent="0.25">
      <c r="A13" s="61" t="s">
        <v>681</v>
      </c>
      <c r="B13" s="89">
        <v>518</v>
      </c>
      <c r="C13" s="90" t="s">
        <v>20</v>
      </c>
      <c r="D13" s="367">
        <f>'2'!D13-'2b'!D13</f>
        <v>997116.31237000006</v>
      </c>
      <c r="E13" s="368">
        <f>'2'!E13-'2b'!E13</f>
        <v>37289.106960000005</v>
      </c>
    </row>
    <row r="14" spans="1:5" x14ac:dyDescent="0.25">
      <c r="A14" s="61" t="s">
        <v>682</v>
      </c>
      <c r="B14" s="87" t="s">
        <v>683</v>
      </c>
      <c r="C14" s="90" t="s">
        <v>23</v>
      </c>
      <c r="D14" s="371">
        <f>'2'!D14-'2b'!D14</f>
        <v>-15248</v>
      </c>
      <c r="E14" s="373">
        <f>'2'!E14-'2b'!E14</f>
        <v>0</v>
      </c>
    </row>
    <row r="15" spans="1:5" x14ac:dyDescent="0.25">
      <c r="A15" s="61" t="s">
        <v>684</v>
      </c>
      <c r="B15" s="89">
        <v>56</v>
      </c>
      <c r="C15" s="90" t="s">
        <v>26</v>
      </c>
      <c r="D15" s="367">
        <f>'2'!D15-'2b'!D15</f>
        <v>-11088</v>
      </c>
      <c r="E15" s="368">
        <f>'2'!E15-'2b'!E15</f>
        <v>0</v>
      </c>
    </row>
    <row r="16" spans="1:5" x14ac:dyDescent="0.25">
      <c r="A16" s="61" t="s">
        <v>685</v>
      </c>
      <c r="B16" s="89">
        <v>571.572</v>
      </c>
      <c r="C16" s="90" t="s">
        <v>29</v>
      </c>
      <c r="D16" s="367">
        <f>'2'!D16-'2b'!D16</f>
        <v>-3886</v>
      </c>
      <c r="E16" s="368">
        <f>'2'!E16-'2b'!E16</f>
        <v>0</v>
      </c>
    </row>
    <row r="17" spans="1:5" x14ac:dyDescent="0.25">
      <c r="A17" s="61" t="s">
        <v>686</v>
      </c>
      <c r="B17" s="89">
        <v>573.57399999999996</v>
      </c>
      <c r="C17" s="90" t="s">
        <v>32</v>
      </c>
      <c r="D17" s="367">
        <f>'2'!D17-'2b'!D17</f>
        <v>-274</v>
      </c>
      <c r="E17" s="368">
        <f>'2'!E17-'2b'!E17</f>
        <v>0</v>
      </c>
    </row>
    <row r="18" spans="1:5" x14ac:dyDescent="0.25">
      <c r="A18" s="61" t="s">
        <v>687</v>
      </c>
      <c r="B18" s="89" t="s">
        <v>688</v>
      </c>
      <c r="C18" s="90" t="s">
        <v>34</v>
      </c>
      <c r="D18" s="365">
        <f>'2'!D18-'2b'!D18</f>
        <v>8671541.9100000001</v>
      </c>
      <c r="E18" s="373">
        <f>'2'!E18-'2b'!E18</f>
        <v>91333.048920000001</v>
      </c>
    </row>
    <row r="19" spans="1:5" x14ac:dyDescent="0.25">
      <c r="A19" s="61" t="s">
        <v>689</v>
      </c>
      <c r="B19" s="89">
        <v>521</v>
      </c>
      <c r="C19" s="90" t="s">
        <v>37</v>
      </c>
      <c r="D19" s="367">
        <f>'2'!D19-'2b'!D19</f>
        <v>6368164.8289999999</v>
      </c>
      <c r="E19" s="368">
        <f>'2'!E19-'2b'!E19</f>
        <v>68944.233000000007</v>
      </c>
    </row>
    <row r="20" spans="1:5" x14ac:dyDescent="0.25">
      <c r="A20" s="61" t="s">
        <v>690</v>
      </c>
      <c r="B20" s="89">
        <v>524</v>
      </c>
      <c r="C20" s="90" t="s">
        <v>39</v>
      </c>
      <c r="D20" s="367">
        <f>'2'!D20-'2b'!D20</f>
        <v>2075483.892</v>
      </c>
      <c r="E20" s="368">
        <f>'2'!E20-'2b'!E20</f>
        <v>19831.845000000001</v>
      </c>
    </row>
    <row r="21" spans="1:5" x14ac:dyDescent="0.25">
      <c r="A21" s="61" t="s">
        <v>691</v>
      </c>
      <c r="B21" s="89">
        <v>525</v>
      </c>
      <c r="C21" s="90" t="s">
        <v>42</v>
      </c>
      <c r="D21" s="367">
        <f>'2'!D21-'2b'!D21</f>
        <v>0</v>
      </c>
      <c r="E21" s="368">
        <f>'2'!E21-'2b'!E21</f>
        <v>0</v>
      </c>
    </row>
    <row r="22" spans="1:5" x14ac:dyDescent="0.25">
      <c r="A22" s="61" t="s">
        <v>692</v>
      </c>
      <c r="B22" s="89">
        <v>527</v>
      </c>
      <c r="C22" s="90" t="s">
        <v>44</v>
      </c>
      <c r="D22" s="367">
        <f>'2'!D22-'2b'!D22</f>
        <v>134620.989</v>
      </c>
      <c r="E22" s="368">
        <f>'2'!E22-'2b'!E22</f>
        <v>2283.9709199999998</v>
      </c>
    </row>
    <row r="23" spans="1:5" x14ac:dyDescent="0.25">
      <c r="A23" s="61" t="s">
        <v>693</v>
      </c>
      <c r="B23" s="89">
        <v>528</v>
      </c>
      <c r="C23" s="90" t="s">
        <v>47</v>
      </c>
      <c r="D23" s="367">
        <f>'2'!D23-'2b'!D23</f>
        <v>93272.2</v>
      </c>
      <c r="E23" s="368">
        <f>'2'!E23-'2b'!E23</f>
        <v>273</v>
      </c>
    </row>
    <row r="24" spans="1:5" x14ac:dyDescent="0.25">
      <c r="A24" s="61" t="s">
        <v>694</v>
      </c>
      <c r="B24" s="89" t="s">
        <v>695</v>
      </c>
      <c r="C24" s="90" t="s">
        <v>50</v>
      </c>
      <c r="D24" s="365">
        <f>'2'!D24-'2b'!D24</f>
        <v>1658</v>
      </c>
      <c r="E24" s="373">
        <f>'2'!E24-'2b'!E24</f>
        <v>483.82809999999995</v>
      </c>
    </row>
    <row r="25" spans="1:5" x14ac:dyDescent="0.25">
      <c r="A25" s="61" t="s">
        <v>696</v>
      </c>
      <c r="B25" s="89">
        <v>53</v>
      </c>
      <c r="C25" s="90" t="s">
        <v>53</v>
      </c>
      <c r="D25" s="367">
        <f>'2'!D25-'2b'!D25</f>
        <v>1658</v>
      </c>
      <c r="E25" s="368">
        <f>'2'!E25-'2b'!E25</f>
        <v>483.82809999999995</v>
      </c>
    </row>
    <row r="26" spans="1:5" x14ac:dyDescent="0.25">
      <c r="A26" s="61" t="s">
        <v>697</v>
      </c>
      <c r="B26" s="89" t="s">
        <v>698</v>
      </c>
      <c r="C26" s="90" t="s">
        <v>56</v>
      </c>
      <c r="D26" s="365">
        <f>'2'!D26-'2b'!D26</f>
        <v>2176950.9590599998</v>
      </c>
      <c r="E26" s="373">
        <f>'2'!E26-'2b'!E26</f>
        <v>34107.782030000002</v>
      </c>
    </row>
    <row r="27" spans="1:5" x14ac:dyDescent="0.25">
      <c r="A27" s="61" t="s">
        <v>699</v>
      </c>
      <c r="B27" s="89">
        <v>541.54200000000003</v>
      </c>
      <c r="C27" s="90" t="s">
        <v>58</v>
      </c>
      <c r="D27" s="367">
        <f>'2'!D27-'2b'!D27</f>
        <v>309.60000000000002</v>
      </c>
      <c r="E27" s="368">
        <f>'2'!E27-'2b'!E27</f>
        <v>179</v>
      </c>
    </row>
    <row r="28" spans="1:5" x14ac:dyDescent="0.25">
      <c r="A28" s="61" t="s">
        <v>700</v>
      </c>
      <c r="B28" s="89">
        <v>543</v>
      </c>
      <c r="C28" s="90" t="s">
        <v>60</v>
      </c>
      <c r="D28" s="367">
        <f>'2'!D28-'2b'!D28</f>
        <v>6524.1425600000002</v>
      </c>
      <c r="E28" s="368">
        <f>'2'!E28-'2b'!E28</f>
        <v>160.72</v>
      </c>
    </row>
    <row r="29" spans="1:5" x14ac:dyDescent="0.25">
      <c r="A29" s="61" t="s">
        <v>701</v>
      </c>
      <c r="B29" s="89">
        <v>544</v>
      </c>
      <c r="C29" s="90" t="s">
        <v>62</v>
      </c>
      <c r="D29" s="367">
        <f>'2'!D29-'2b'!D29</f>
        <v>141</v>
      </c>
      <c r="E29" s="368">
        <f>'2'!E29-'2b'!E29</f>
        <v>-2.8E-3</v>
      </c>
    </row>
    <row r="30" spans="1:5" x14ac:dyDescent="0.25">
      <c r="A30" s="61" t="s">
        <v>702</v>
      </c>
      <c r="B30" s="89">
        <v>545</v>
      </c>
      <c r="C30" s="90" t="s">
        <v>65</v>
      </c>
      <c r="D30" s="367">
        <f>'2'!D30-'2b'!D30</f>
        <v>21924.839189999999</v>
      </c>
      <c r="E30" s="368">
        <f>'2'!E30-'2b'!E30</f>
        <v>139.68474000000003</v>
      </c>
    </row>
    <row r="31" spans="1:5" x14ac:dyDescent="0.25">
      <c r="A31" s="61" t="s">
        <v>703</v>
      </c>
      <c r="B31" s="89">
        <v>546</v>
      </c>
      <c r="C31" s="90" t="s">
        <v>67</v>
      </c>
      <c r="D31" s="367">
        <f>'2'!D31-'2b'!D31</f>
        <v>437</v>
      </c>
      <c r="E31" s="368">
        <f>'2'!E31-'2b'!E31</f>
        <v>520</v>
      </c>
    </row>
    <row r="32" spans="1:5" x14ac:dyDescent="0.25">
      <c r="A32" s="61" t="s">
        <v>704</v>
      </c>
      <c r="B32" s="89">
        <v>548</v>
      </c>
      <c r="C32" s="90" t="s">
        <v>69</v>
      </c>
      <c r="D32" s="367">
        <f>'2'!D32-'2b'!D32</f>
        <v>531.83200999999997</v>
      </c>
      <c r="E32" s="368">
        <f>'2'!E32-'2b'!E32</f>
        <v>32.568919999999991</v>
      </c>
    </row>
    <row r="33" spans="1:5" x14ac:dyDescent="0.25">
      <c r="A33" s="61" t="s">
        <v>705</v>
      </c>
      <c r="B33" s="89">
        <v>549</v>
      </c>
      <c r="C33" s="90" t="s">
        <v>72</v>
      </c>
      <c r="D33" s="367">
        <f>'2'!D33-'2b'!D33</f>
        <v>2147082.5452999999</v>
      </c>
      <c r="E33" s="368">
        <f>'2'!E33-'2b'!E33</f>
        <v>33075.811170000001</v>
      </c>
    </row>
    <row r="34" spans="1:5" ht="12.75" customHeight="1" x14ac:dyDescent="0.25">
      <c r="A34" s="61" t="s">
        <v>706</v>
      </c>
      <c r="B34" s="89" t="s">
        <v>707</v>
      </c>
      <c r="C34" s="90" t="s">
        <v>73</v>
      </c>
      <c r="D34" s="365">
        <f>'2'!D34-'2b'!D34</f>
        <v>1001082.49532</v>
      </c>
      <c r="E34" s="373">
        <f>'2'!E34-'2b'!E34</f>
        <v>1429.03901</v>
      </c>
    </row>
    <row r="35" spans="1:5" x14ac:dyDescent="0.25">
      <c r="A35" s="61" t="s">
        <v>708</v>
      </c>
      <c r="B35" s="89">
        <v>551</v>
      </c>
      <c r="C35" s="90" t="s">
        <v>75</v>
      </c>
      <c r="D35" s="367">
        <f>'2'!D35-'2b'!D35</f>
        <v>981510.27373999998</v>
      </c>
      <c r="E35" s="368">
        <f>'2'!E35-'2b'!E35</f>
        <v>974.399</v>
      </c>
    </row>
    <row r="36" spans="1:5" ht="12.75" customHeight="1" x14ac:dyDescent="0.25">
      <c r="A36" s="61" t="s">
        <v>709</v>
      </c>
      <c r="B36" s="89">
        <v>552</v>
      </c>
      <c r="C36" s="90" t="s">
        <v>78</v>
      </c>
      <c r="D36" s="367">
        <f>'2'!D36-'2b'!D36</f>
        <v>20130</v>
      </c>
      <c r="E36" s="368">
        <f>'2'!E36-'2b'!E36</f>
        <v>0</v>
      </c>
    </row>
    <row r="37" spans="1:5" x14ac:dyDescent="0.25">
      <c r="A37" s="61" t="s">
        <v>710</v>
      </c>
      <c r="B37" s="89">
        <v>553</v>
      </c>
      <c r="C37" s="90" t="s">
        <v>81</v>
      </c>
      <c r="D37" s="367">
        <f>'2'!D37-'2b'!D37</f>
        <v>0</v>
      </c>
      <c r="E37" s="368">
        <f>'2'!E37-'2b'!E37</f>
        <v>0</v>
      </c>
    </row>
    <row r="38" spans="1:5" x14ac:dyDescent="0.25">
      <c r="A38" s="61" t="s">
        <v>711</v>
      </c>
      <c r="B38" s="89">
        <v>554</v>
      </c>
      <c r="C38" s="90" t="s">
        <v>84</v>
      </c>
      <c r="D38" s="367">
        <f>'2'!D38-'2b'!D38</f>
        <v>190</v>
      </c>
      <c r="E38" s="368">
        <f>'2'!E38-'2b'!E38</f>
        <v>455</v>
      </c>
    </row>
    <row r="39" spans="1:5" x14ac:dyDescent="0.25">
      <c r="A39" s="61" t="s">
        <v>712</v>
      </c>
      <c r="B39" s="89" t="s">
        <v>713</v>
      </c>
      <c r="C39" s="90" t="s">
        <v>86</v>
      </c>
      <c r="D39" s="367">
        <f>'2'!D39-'2b'!D39</f>
        <v>-747.77841999999873</v>
      </c>
      <c r="E39" s="368">
        <f>'2'!E39-'2b'!E39</f>
        <v>-0.35999000000003889</v>
      </c>
    </row>
    <row r="40" spans="1:5" x14ac:dyDescent="0.25">
      <c r="A40" s="61" t="s">
        <v>334</v>
      </c>
      <c r="B40" s="89" t="s">
        <v>714</v>
      </c>
      <c r="C40" s="90" t="s">
        <v>88</v>
      </c>
      <c r="D40" s="365">
        <f>'2'!D40-'2b'!D40</f>
        <v>0</v>
      </c>
      <c r="E40" s="373">
        <f>'2'!E40-'2b'!E40</f>
        <v>0</v>
      </c>
    </row>
    <row r="41" spans="1:5" x14ac:dyDescent="0.25">
      <c r="A41" s="61" t="s">
        <v>715</v>
      </c>
      <c r="B41" s="89">
        <v>581</v>
      </c>
      <c r="C41" s="90" t="s">
        <v>91</v>
      </c>
      <c r="D41" s="367">
        <f>'2'!D41-'2b'!D41</f>
        <v>0</v>
      </c>
      <c r="E41" s="368">
        <f>'2'!E41-'2b'!E41</f>
        <v>0</v>
      </c>
    </row>
    <row r="42" spans="1:5" x14ac:dyDescent="0.25">
      <c r="A42" s="61" t="s">
        <v>335</v>
      </c>
      <c r="B42" s="89" t="s">
        <v>716</v>
      </c>
      <c r="C42" s="90" t="s">
        <v>93</v>
      </c>
      <c r="D42" s="365">
        <f>'2'!D42-'2b'!D42</f>
        <v>1694</v>
      </c>
      <c r="E42" s="373">
        <f>'2'!E42-'2b'!E42</f>
        <v>6408</v>
      </c>
    </row>
    <row r="43" spans="1:5" ht="14.25" customHeight="1" x14ac:dyDescent="0.25">
      <c r="A43" s="61" t="s">
        <v>717</v>
      </c>
      <c r="B43" s="89">
        <v>59</v>
      </c>
      <c r="C43" s="90" t="s">
        <v>96</v>
      </c>
      <c r="D43" s="367">
        <f>'2'!D43-'2b'!D43</f>
        <v>1694</v>
      </c>
      <c r="E43" s="368">
        <f>'2'!E43-'2b'!E43</f>
        <v>6408</v>
      </c>
    </row>
    <row r="44" spans="1:5" ht="26.25" thickBot="1" x14ac:dyDescent="0.3">
      <c r="A44" s="100" t="s">
        <v>336</v>
      </c>
      <c r="B44" s="91" t="s">
        <v>760</v>
      </c>
      <c r="C44" s="90" t="s">
        <v>99</v>
      </c>
      <c r="D44" s="412">
        <f>SUM(D7,D14,D18,D24,D26,D34,D40,D42)</f>
        <v>14305082.9603</v>
      </c>
      <c r="E44" s="413">
        <f>SUM(E7,E14,E18,E24,E26,E34,E40,E42)</f>
        <v>249555.61248000004</v>
      </c>
    </row>
    <row r="45" spans="1:5" ht="12.75" customHeight="1" thickBot="1" x14ac:dyDescent="0.3">
      <c r="A45" s="1336" t="s">
        <v>337</v>
      </c>
      <c r="B45" s="1337"/>
      <c r="C45" s="1337"/>
      <c r="D45" s="1337"/>
      <c r="E45" s="1338"/>
    </row>
    <row r="46" spans="1:5" ht="12.75" customHeight="1" x14ac:dyDescent="0.25">
      <c r="A46" s="72" t="s">
        <v>718</v>
      </c>
      <c r="B46" s="92" t="s">
        <v>753</v>
      </c>
      <c r="C46" s="90" t="s">
        <v>103</v>
      </c>
      <c r="D46" s="365">
        <f>'2'!D46-'2b'!D46</f>
        <v>9890695.7401100006</v>
      </c>
      <c r="E46" s="366">
        <f>'2'!E46-'2b'!E46</f>
        <v>0</v>
      </c>
    </row>
    <row r="47" spans="1:5" ht="12.75" customHeight="1" x14ac:dyDescent="0.25">
      <c r="A47" s="61" t="s">
        <v>719</v>
      </c>
      <c r="B47" s="93">
        <v>691</v>
      </c>
      <c r="C47" s="90" t="s">
        <v>105</v>
      </c>
      <c r="D47" s="367">
        <f>'2'!D47-'2b'!D47</f>
        <v>9890695.7401100006</v>
      </c>
      <c r="E47" s="368">
        <f>'2'!E47-'2b'!E47</f>
        <v>0</v>
      </c>
    </row>
    <row r="48" spans="1:5" ht="12.75" customHeight="1" x14ac:dyDescent="0.25">
      <c r="A48" s="61" t="s">
        <v>720</v>
      </c>
      <c r="B48" s="92" t="s">
        <v>721</v>
      </c>
      <c r="C48" s="90" t="s">
        <v>107</v>
      </c>
      <c r="D48" s="365">
        <f>'2'!D48-'2b'!D48</f>
        <v>2048</v>
      </c>
      <c r="E48" s="369">
        <f>'2'!E48-'2b'!E48</f>
        <v>0</v>
      </c>
    </row>
    <row r="49" spans="1:5" ht="12.75" customHeight="1" x14ac:dyDescent="0.25">
      <c r="A49" s="61" t="s">
        <v>722</v>
      </c>
      <c r="B49" s="93">
        <v>681</v>
      </c>
      <c r="C49" s="90" t="s">
        <v>110</v>
      </c>
      <c r="D49" s="370">
        <f>'2'!D49-'2b'!D49</f>
        <v>0</v>
      </c>
      <c r="E49" s="368">
        <f>'2'!E49-'2b'!E49</f>
        <v>0</v>
      </c>
    </row>
    <row r="50" spans="1:5" ht="12.75" customHeight="1" x14ac:dyDescent="0.25">
      <c r="A50" s="61" t="s">
        <v>723</v>
      </c>
      <c r="B50" s="93">
        <v>682</v>
      </c>
      <c r="C50" s="90" t="s">
        <v>113</v>
      </c>
      <c r="D50" s="367">
        <f>'2'!D50-'2b'!D50</f>
        <v>2048</v>
      </c>
      <c r="E50" s="368">
        <f>'2'!E50-'2b'!E50</f>
        <v>0</v>
      </c>
    </row>
    <row r="51" spans="1:5" ht="12.75" customHeight="1" x14ac:dyDescent="0.25">
      <c r="A51" s="61" t="s">
        <v>724</v>
      </c>
      <c r="B51" s="93">
        <v>684</v>
      </c>
      <c r="C51" s="90" t="s">
        <v>116</v>
      </c>
      <c r="D51" s="370">
        <f>'2'!D51-'2b'!D51</f>
        <v>0</v>
      </c>
      <c r="E51" s="368">
        <f>'2'!E51-'2b'!E51</f>
        <v>0</v>
      </c>
    </row>
    <row r="52" spans="1:5" x14ac:dyDescent="0.25">
      <c r="A52" s="61" t="s">
        <v>725</v>
      </c>
      <c r="B52" s="94" t="s">
        <v>726</v>
      </c>
      <c r="C52" s="90" t="s">
        <v>119</v>
      </c>
      <c r="D52" s="365">
        <f>'2'!D52-'2b'!D52</f>
        <v>1573151.42193</v>
      </c>
      <c r="E52" s="373">
        <f>'2'!E52-'2b'!E52</f>
        <v>280840.80570999999</v>
      </c>
    </row>
    <row r="53" spans="1:5" x14ac:dyDescent="0.25">
      <c r="A53" s="61" t="s">
        <v>727</v>
      </c>
      <c r="B53" s="92" t="s">
        <v>728</v>
      </c>
      <c r="C53" s="90" t="s">
        <v>122</v>
      </c>
      <c r="D53" s="365">
        <f>'2'!D53-'2b'!D53</f>
        <v>2826668.9191700001</v>
      </c>
      <c r="E53" s="373">
        <f>'2'!E53-'2b'!E53</f>
        <v>34064.77895</v>
      </c>
    </row>
    <row r="54" spans="1:5" x14ac:dyDescent="0.25">
      <c r="A54" s="61" t="s">
        <v>729</v>
      </c>
      <c r="B54" s="94">
        <v>641.64200000000005</v>
      </c>
      <c r="C54" s="90" t="s">
        <v>124</v>
      </c>
      <c r="D54" s="367">
        <f>'2'!D54-'2b'!D54</f>
        <v>6914.25</v>
      </c>
      <c r="E54" s="368">
        <f>'2'!E54-'2b'!E54</f>
        <v>377</v>
      </c>
    </row>
    <row r="55" spans="1:5" x14ac:dyDescent="0.25">
      <c r="A55" s="61" t="s">
        <v>730</v>
      </c>
      <c r="B55" s="95">
        <v>643</v>
      </c>
      <c r="C55" s="90" t="s">
        <v>127</v>
      </c>
      <c r="D55" s="367">
        <f>'2'!D55-'2b'!D55</f>
        <v>0</v>
      </c>
      <c r="E55" s="368">
        <f>'2'!E55-'2b'!E55</f>
        <v>0</v>
      </c>
    </row>
    <row r="56" spans="1:5" x14ac:dyDescent="0.25">
      <c r="A56" s="61" t="s">
        <v>731</v>
      </c>
      <c r="B56" s="93">
        <v>644</v>
      </c>
      <c r="C56" s="90" t="s">
        <v>130</v>
      </c>
      <c r="D56" s="367">
        <f>'2'!D56-'2b'!D56</f>
        <v>352686.92132000002</v>
      </c>
      <c r="E56" s="368">
        <f>'2'!E56-'2b'!E56</f>
        <v>1855.1224499999998</v>
      </c>
    </row>
    <row r="57" spans="1:5" x14ac:dyDescent="0.25">
      <c r="A57" s="61" t="s">
        <v>732</v>
      </c>
      <c r="B57" s="93">
        <v>645</v>
      </c>
      <c r="C57" s="90" t="s">
        <v>133</v>
      </c>
      <c r="D57" s="367">
        <f>'2'!D57-'2b'!D57</f>
        <v>47087</v>
      </c>
      <c r="E57" s="368">
        <f>'2'!E57-'2b'!E57</f>
        <v>338.29149000000001</v>
      </c>
    </row>
    <row r="58" spans="1:5" x14ac:dyDescent="0.25">
      <c r="A58" s="61" t="s">
        <v>733</v>
      </c>
      <c r="B58" s="93">
        <v>648</v>
      </c>
      <c r="C58" s="90" t="s">
        <v>135</v>
      </c>
      <c r="D58" s="367">
        <f>'2'!D58-'2b'!D58</f>
        <v>815087.2</v>
      </c>
      <c r="E58" s="368">
        <f>'2'!E58-'2b'!E58</f>
        <v>11641.8</v>
      </c>
    </row>
    <row r="59" spans="1:5" x14ac:dyDescent="0.25">
      <c r="A59" s="61" t="s">
        <v>734</v>
      </c>
      <c r="B59" s="93">
        <v>649</v>
      </c>
      <c r="C59" s="90" t="s">
        <v>138</v>
      </c>
      <c r="D59" s="367">
        <f>'2'!D59-'2b'!D59</f>
        <v>1604893.54785</v>
      </c>
      <c r="E59" s="368">
        <f>'2'!E59-'2b'!E59</f>
        <v>19852.565009999998</v>
      </c>
    </row>
    <row r="60" spans="1:5" x14ac:dyDescent="0.25">
      <c r="A60" s="61" t="s">
        <v>735</v>
      </c>
      <c r="B60" s="92" t="s">
        <v>736</v>
      </c>
      <c r="C60" s="90" t="s">
        <v>141</v>
      </c>
      <c r="D60" s="365">
        <f>'2'!D60-'2b'!D60</f>
        <v>402</v>
      </c>
      <c r="E60" s="373">
        <f>'2'!E60-'2b'!E60</f>
        <v>474</v>
      </c>
    </row>
    <row r="61" spans="1:5" x14ac:dyDescent="0.25">
      <c r="A61" s="61" t="s">
        <v>737</v>
      </c>
      <c r="B61" s="93">
        <v>652</v>
      </c>
      <c r="C61" s="90" t="s">
        <v>144</v>
      </c>
      <c r="D61" s="367">
        <f>'2'!D61-'2b'!D61</f>
        <v>248</v>
      </c>
      <c r="E61" s="368">
        <f>'2'!E61-'2b'!E61</f>
        <v>0</v>
      </c>
    </row>
    <row r="62" spans="1:5" x14ac:dyDescent="0.25">
      <c r="A62" s="61" t="s">
        <v>738</v>
      </c>
      <c r="B62" s="93">
        <v>653</v>
      </c>
      <c r="C62" s="90" t="s">
        <v>146</v>
      </c>
      <c r="D62" s="367">
        <f>'2'!D62-'2b'!D62</f>
        <v>0</v>
      </c>
      <c r="E62" s="368">
        <f>'2'!E62-'2b'!E62</f>
        <v>0</v>
      </c>
    </row>
    <row r="63" spans="1:5" x14ac:dyDescent="0.25">
      <c r="A63" s="61" t="s">
        <v>739</v>
      </c>
      <c r="B63" s="93">
        <v>654</v>
      </c>
      <c r="C63" s="90" t="s">
        <v>149</v>
      </c>
      <c r="D63" s="367">
        <f>'2'!D63-'2b'!D63</f>
        <v>154</v>
      </c>
      <c r="E63" s="368">
        <f>'2'!E63-'2b'!E63</f>
        <v>474</v>
      </c>
    </row>
    <row r="64" spans="1:5" x14ac:dyDescent="0.25">
      <c r="A64" s="61" t="s">
        <v>740</v>
      </c>
      <c r="B64" s="93">
        <v>655</v>
      </c>
      <c r="C64" s="90" t="s">
        <v>152</v>
      </c>
      <c r="D64" s="367">
        <f>'2'!D64-'2b'!D64</f>
        <v>0</v>
      </c>
      <c r="E64" s="368">
        <f>'2'!E64-'2b'!E64</f>
        <v>0</v>
      </c>
    </row>
    <row r="65" spans="1:8" x14ac:dyDescent="0.25">
      <c r="A65" s="61" t="s">
        <v>741</v>
      </c>
      <c r="B65" s="93">
        <v>657</v>
      </c>
      <c r="C65" s="90" t="s">
        <v>154</v>
      </c>
      <c r="D65" s="367">
        <f>'2'!D65-'2b'!D65</f>
        <v>0</v>
      </c>
      <c r="E65" s="368">
        <f>'2'!E65-'2b'!E65</f>
        <v>0</v>
      </c>
    </row>
    <row r="66" spans="1:8" ht="15" customHeight="1" thickBot="1" x14ac:dyDescent="0.3">
      <c r="A66" s="100" t="s">
        <v>338</v>
      </c>
      <c r="B66" s="91" t="s">
        <v>742</v>
      </c>
      <c r="C66" s="96" t="s">
        <v>157</v>
      </c>
      <c r="D66" s="412">
        <f>SUM(D46,D48,D52:D53,D60)</f>
        <v>14292966.08121</v>
      </c>
      <c r="E66" s="413">
        <f>SUM(E46,E48,E52:E53,E60)</f>
        <v>315379.58465999999</v>
      </c>
    </row>
    <row r="67" spans="1:8" x14ac:dyDescent="0.25">
      <c r="A67" s="58" t="s">
        <v>339</v>
      </c>
      <c r="B67" s="92" t="s">
        <v>755</v>
      </c>
      <c r="C67" s="88" t="s">
        <v>160</v>
      </c>
      <c r="D67" s="414">
        <f>(D66-D44)+D42</f>
        <v>-10422.879089999944</v>
      </c>
      <c r="E67" s="415">
        <f>(E66-E44)+E42</f>
        <v>72231.972179999953</v>
      </c>
    </row>
    <row r="68" spans="1:8" x14ac:dyDescent="0.25">
      <c r="A68" s="97" t="s">
        <v>340</v>
      </c>
      <c r="B68" s="92" t="s">
        <v>754</v>
      </c>
      <c r="C68" s="90" t="s">
        <v>163</v>
      </c>
      <c r="D68" s="416">
        <f>(D66-D44)</f>
        <v>-12116.879089999944</v>
      </c>
      <c r="E68" s="417">
        <f>(E66-E44)</f>
        <v>65823.972179999953</v>
      </c>
    </row>
    <row r="69" spans="1:8" x14ac:dyDescent="0.25">
      <c r="A69" s="58"/>
      <c r="B69" s="98"/>
      <c r="C69" s="90"/>
      <c r="D69" s="1326" t="s">
        <v>757</v>
      </c>
      <c r="E69" s="1327"/>
    </row>
    <row r="70" spans="1:8" x14ac:dyDescent="0.25">
      <c r="A70" s="58" t="s">
        <v>743</v>
      </c>
      <c r="B70" s="99" t="s">
        <v>744</v>
      </c>
      <c r="C70" s="90" t="s">
        <v>166</v>
      </c>
      <c r="D70" s="1328">
        <f>+D67+E67</f>
        <v>61809.093090000009</v>
      </c>
      <c r="E70" s="1329"/>
    </row>
    <row r="71" spans="1:8" ht="13.5" thickBot="1" x14ac:dyDescent="0.3">
      <c r="A71" s="100" t="s">
        <v>745</v>
      </c>
      <c r="B71" s="74" t="s">
        <v>746</v>
      </c>
      <c r="C71" s="96" t="s">
        <v>168</v>
      </c>
      <c r="D71" s="1330">
        <f>+D68+E68</f>
        <v>53707.093090000009</v>
      </c>
      <c r="E71" s="1331"/>
    </row>
    <row r="72" spans="1:8" ht="12.75" customHeight="1" x14ac:dyDescent="0.25">
      <c r="A72" s="101"/>
      <c r="B72" s="80"/>
      <c r="C72" s="80"/>
    </row>
    <row r="73" spans="1:8" ht="12.75" customHeight="1" x14ac:dyDescent="0.25">
      <c r="A73" s="76" t="s">
        <v>467</v>
      </c>
      <c r="B73" s="80"/>
      <c r="C73" s="80"/>
    </row>
    <row r="74" spans="1:8" ht="12.75" customHeight="1" x14ac:dyDescent="0.25">
      <c r="A74" s="19" t="s">
        <v>747</v>
      </c>
      <c r="B74" s="80"/>
      <c r="C74" s="80"/>
    </row>
    <row r="75" spans="1:8" x14ac:dyDescent="0.25">
      <c r="A75" s="19" t="s">
        <v>748</v>
      </c>
      <c r="B75" s="81"/>
      <c r="C75" s="81"/>
    </row>
    <row r="76" spans="1:8" x14ac:dyDescent="0.25">
      <c r="A76" s="19" t="s">
        <v>668</v>
      </c>
      <c r="B76" s="81"/>
      <c r="C76" s="81"/>
    </row>
    <row r="77" spans="1:8" x14ac:dyDescent="0.25">
      <c r="A77" s="19" t="s">
        <v>669</v>
      </c>
    </row>
    <row r="79" spans="1:8" hidden="1" x14ac:dyDescent="0.25">
      <c r="D79" s="709">
        <f>(D71+'2b'!D71)-'2'!D71</f>
        <v>0</v>
      </c>
    </row>
    <row r="80" spans="1:8" hidden="1" x14ac:dyDescent="0.25">
      <c r="D80" s="708">
        <f>D67+'2b'!D67</f>
        <v>-19197.999999999942</v>
      </c>
      <c r="E80" s="708">
        <f>E67+'2b'!E67</f>
        <v>107249.99999999997</v>
      </c>
      <c r="F80" s="708">
        <f>D80+E80</f>
        <v>88052.000000000029</v>
      </c>
      <c r="G80" s="709">
        <f>F80-'2'!D70</f>
        <v>0</v>
      </c>
      <c r="H80" s="711" t="s">
        <v>1245</v>
      </c>
    </row>
    <row r="81" spans="4:8" hidden="1" x14ac:dyDescent="0.25">
      <c r="D81" s="708">
        <f>D68+'2b'!D68</f>
        <v>-20891.999999999942</v>
      </c>
      <c r="E81" s="708">
        <f>E68+'2b'!E68</f>
        <v>100841.99999999997</v>
      </c>
      <c r="F81" s="708">
        <f>D81+E81</f>
        <v>79950.000000000029</v>
      </c>
      <c r="G81" s="709">
        <f>F81-'2'!D71</f>
        <v>0</v>
      </c>
      <c r="H81" s="711" t="s">
        <v>1246</v>
      </c>
    </row>
  </sheetData>
  <mergeCells count="9">
    <mergeCell ref="D69:E69"/>
    <mergeCell ref="D70:E70"/>
    <mergeCell ref="D71:E71"/>
    <mergeCell ref="A1:E1"/>
    <mergeCell ref="A2:E2"/>
    <mergeCell ref="A3:E3"/>
    <mergeCell ref="A4:E4"/>
    <mergeCell ref="B6:C6"/>
    <mergeCell ref="A45:E45"/>
  </mergeCells>
  <printOptions horizontalCentered="1" verticalCentered="1"/>
  <pageMargins left="0.70866141732283472" right="0" top="0.19685039370078741" bottom="0.19685039370078741" header="0.51181102362204722" footer="0.51181102362204722"/>
  <pageSetup paperSize="9" scale="80" orientation="portrait" r:id="rId1"/>
  <headerFooter alignWithMargins="0"/>
  <rowBreaks count="1" manualBreakCount="1">
    <brk id="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G77"/>
  <sheetViews>
    <sheetView zoomScaleNormal="100" workbookViewId="0">
      <pane ySplit="5" topLeftCell="A63" activePane="bottomLeft" state="frozenSplit"/>
      <selection activeCell="B151" sqref="B151"/>
      <selection pane="bottomLeft" activeCell="B151" sqref="B151"/>
    </sheetView>
  </sheetViews>
  <sheetFormatPr defaultColWidth="9.140625" defaultRowHeight="12.75" x14ac:dyDescent="0.25"/>
  <cols>
    <col min="1" max="1" width="60.42578125" style="76" customWidth="1"/>
    <col min="2" max="2" width="16.7109375" style="102" customWidth="1"/>
    <col min="3" max="3" width="9.140625" style="102"/>
    <col min="4" max="4" width="12.5703125" style="78" customWidth="1"/>
    <col min="5" max="5" width="15.140625" style="78" customWidth="1"/>
    <col min="6" max="6" width="9.140625" style="19"/>
    <col min="7" max="9" width="9.140625" style="19" customWidth="1"/>
    <col min="10" max="16384" width="9.140625" style="19"/>
  </cols>
  <sheetData>
    <row r="1" spans="1:7" ht="26.25" x14ac:dyDescent="0.25">
      <c r="A1" s="1332" t="s">
        <v>761</v>
      </c>
      <c r="B1" s="1332"/>
      <c r="C1" s="1332"/>
      <c r="D1" s="1332"/>
      <c r="E1" s="1332"/>
    </row>
    <row r="2" spans="1:7" ht="12.75" customHeight="1" thickBot="1" x14ac:dyDescent="0.3">
      <c r="A2" s="1333"/>
      <c r="B2" s="1333"/>
      <c r="C2" s="1333"/>
      <c r="D2" s="1333"/>
      <c r="E2" s="1333"/>
    </row>
    <row r="3" spans="1:7" ht="27.95" customHeight="1" thickBot="1" x14ac:dyDescent="0.3">
      <c r="A3" s="1318" t="s">
        <v>670</v>
      </c>
      <c r="B3" s="1319"/>
      <c r="C3" s="1319"/>
      <c r="D3" s="1319"/>
      <c r="E3" s="1320"/>
    </row>
    <row r="4" spans="1:7" ht="15" customHeight="1" thickBot="1" x14ac:dyDescent="0.3">
      <c r="A4" s="1321" t="s">
        <v>441</v>
      </c>
      <c r="B4" s="1322"/>
      <c r="C4" s="1322"/>
      <c r="D4" s="1322"/>
      <c r="E4" s="1323"/>
    </row>
    <row r="5" spans="1:7" s="85" customFormat="1" ht="39" thickBot="1" x14ac:dyDescent="0.3">
      <c r="A5" s="82" t="s">
        <v>671</v>
      </c>
      <c r="B5" s="83" t="s">
        <v>564</v>
      </c>
      <c r="C5" s="84" t="s">
        <v>672</v>
      </c>
      <c r="D5" s="56" t="s">
        <v>758</v>
      </c>
      <c r="E5" s="57" t="s">
        <v>759</v>
      </c>
      <c r="F5" s="19"/>
      <c r="G5" s="1195" t="s">
        <v>1254</v>
      </c>
    </row>
    <row r="6" spans="1:7" s="85" customFormat="1" x14ac:dyDescent="0.25">
      <c r="A6" s="86" t="s">
        <v>333</v>
      </c>
      <c r="B6" s="1334"/>
      <c r="C6" s="1335"/>
      <c r="D6" s="59" t="s">
        <v>429</v>
      </c>
      <c r="E6" s="60" t="s">
        <v>430</v>
      </c>
      <c r="F6" s="19"/>
      <c r="G6" s="19"/>
    </row>
    <row r="7" spans="1:7" x14ac:dyDescent="0.25">
      <c r="A7" s="72" t="s">
        <v>673</v>
      </c>
      <c r="B7" s="87" t="s">
        <v>674</v>
      </c>
      <c r="C7" s="88" t="s">
        <v>2</v>
      </c>
      <c r="D7" s="371">
        <f>SUM(D8:D13)</f>
        <v>293933.40408000001</v>
      </c>
      <c r="E7" s="372">
        <f>SUM(E8:E13)</f>
        <v>94664.085579999999</v>
      </c>
    </row>
    <row r="8" spans="1:7" x14ac:dyDescent="0.25">
      <c r="A8" s="61" t="s">
        <v>675</v>
      </c>
      <c r="B8" s="89" t="s">
        <v>676</v>
      </c>
      <c r="C8" s="90" t="s">
        <v>5</v>
      </c>
      <c r="D8" s="367">
        <f>SUM('2b1_43:2b4_31'!D8)</f>
        <v>169463.96569000001</v>
      </c>
      <c r="E8" s="368">
        <f>SUM('2b1_43:2b4_31'!E8)</f>
        <v>59952.718260000001</v>
      </c>
    </row>
    <row r="9" spans="1:7" x14ac:dyDescent="0.25">
      <c r="A9" s="61" t="s">
        <v>677</v>
      </c>
      <c r="B9" s="89">
        <v>504</v>
      </c>
      <c r="C9" s="90" t="s">
        <v>8</v>
      </c>
      <c r="D9" s="367">
        <f>SUM('2b1_43:2b4_31'!D9)</f>
        <v>0</v>
      </c>
      <c r="E9" s="368">
        <f>SUM('2b1_43:2b4_31'!E9)</f>
        <v>6924.969070000001</v>
      </c>
    </row>
    <row r="10" spans="1:7" x14ac:dyDescent="0.25">
      <c r="A10" s="61" t="s">
        <v>678</v>
      </c>
      <c r="B10" s="89">
        <v>511</v>
      </c>
      <c r="C10" s="90" t="s">
        <v>11</v>
      </c>
      <c r="D10" s="367">
        <f>SUM('2b1_43:2b4_31'!D10)</f>
        <v>87691.001759999999</v>
      </c>
      <c r="E10" s="368">
        <f>SUM('2b1_43:2b4_31'!E10)</f>
        <v>10300.744379999998</v>
      </c>
    </row>
    <row r="11" spans="1:7" x14ac:dyDescent="0.25">
      <c r="A11" s="61" t="s">
        <v>679</v>
      </c>
      <c r="B11" s="89">
        <v>512</v>
      </c>
      <c r="C11" s="90" t="s">
        <v>14</v>
      </c>
      <c r="D11" s="367">
        <f>SUM('2b1_43:2b4_31'!D11)</f>
        <v>55.749000000000002</v>
      </c>
      <c r="E11" s="368">
        <f>SUM('2b1_43:2b4_31'!E11)</f>
        <v>0.06</v>
      </c>
    </row>
    <row r="12" spans="1:7" x14ac:dyDescent="0.25">
      <c r="A12" s="61" t="s">
        <v>680</v>
      </c>
      <c r="B12" s="89">
        <v>513</v>
      </c>
      <c r="C12" s="90" t="s">
        <v>17</v>
      </c>
      <c r="D12" s="367">
        <f>SUM('2b1_43:2b4_31'!D12)</f>
        <v>0</v>
      </c>
      <c r="E12" s="368">
        <f>SUM('2b1_43:2b4_31'!E12)</f>
        <v>24.70083</v>
      </c>
    </row>
    <row r="13" spans="1:7" x14ac:dyDescent="0.25">
      <c r="A13" s="61" t="s">
        <v>681</v>
      </c>
      <c r="B13" s="89">
        <v>518</v>
      </c>
      <c r="C13" s="90" t="s">
        <v>20</v>
      </c>
      <c r="D13" s="367">
        <f>SUM('2b1_43:2b4_31'!D13)</f>
        <v>36722.687629999993</v>
      </c>
      <c r="E13" s="368">
        <f>SUM('2b1_43:2b4_31'!E13)</f>
        <v>17460.893039999999</v>
      </c>
    </row>
    <row r="14" spans="1:7" x14ac:dyDescent="0.25">
      <c r="A14" s="61" t="s">
        <v>682</v>
      </c>
      <c r="B14" s="87" t="s">
        <v>683</v>
      </c>
      <c r="C14" s="90" t="s">
        <v>23</v>
      </c>
      <c r="D14" s="371">
        <f>SUM(D15:D17)</f>
        <v>0</v>
      </c>
      <c r="E14" s="373">
        <f>SUM(E15:E17)</f>
        <v>0</v>
      </c>
    </row>
    <row r="15" spans="1:7" x14ac:dyDescent="0.25">
      <c r="A15" s="61" t="s">
        <v>684</v>
      </c>
      <c r="B15" s="89">
        <v>56</v>
      </c>
      <c r="C15" s="90" t="s">
        <v>26</v>
      </c>
      <c r="D15" s="367">
        <f>SUM('2b1_43:2b4_31'!D15)</f>
        <v>0</v>
      </c>
      <c r="E15" s="368">
        <f>SUM('2b1_43:2b4_31'!E15)</f>
        <v>0</v>
      </c>
    </row>
    <row r="16" spans="1:7" x14ac:dyDescent="0.25">
      <c r="A16" s="61" t="s">
        <v>685</v>
      </c>
      <c r="B16" s="89">
        <v>571.572</v>
      </c>
      <c r="C16" s="90" t="s">
        <v>29</v>
      </c>
      <c r="D16" s="367">
        <f>SUM('2b1_43:2b4_31'!D16)</f>
        <v>0</v>
      </c>
      <c r="E16" s="368">
        <f>SUM('2b1_43:2b4_31'!E16)</f>
        <v>0</v>
      </c>
    </row>
    <row r="17" spans="1:5" x14ac:dyDescent="0.25">
      <c r="A17" s="61" t="s">
        <v>686</v>
      </c>
      <c r="B17" s="89">
        <v>573.57399999999996</v>
      </c>
      <c r="C17" s="90" t="s">
        <v>32</v>
      </c>
      <c r="D17" s="367">
        <f>SUM('2b1_43:2b4_31'!D17)</f>
        <v>0</v>
      </c>
      <c r="E17" s="368">
        <f>SUM('2b1_43:2b4_31'!E17)</f>
        <v>0</v>
      </c>
    </row>
    <row r="18" spans="1:5" x14ac:dyDescent="0.25">
      <c r="A18" s="61" t="s">
        <v>687</v>
      </c>
      <c r="B18" s="89" t="s">
        <v>688</v>
      </c>
      <c r="C18" s="90" t="s">
        <v>34</v>
      </c>
      <c r="D18" s="365">
        <f>SUM(D19:D23)</f>
        <v>205661.09</v>
      </c>
      <c r="E18" s="373">
        <f>SUM(E19:E23)</f>
        <v>51457.951079999999</v>
      </c>
    </row>
    <row r="19" spans="1:5" x14ac:dyDescent="0.25">
      <c r="A19" s="61" t="s">
        <v>689</v>
      </c>
      <c r="B19" s="89">
        <v>521</v>
      </c>
      <c r="C19" s="90" t="s">
        <v>37</v>
      </c>
      <c r="D19" s="367">
        <f>SUM('2b1_43:2b4_31'!D19)</f>
        <v>147239.171</v>
      </c>
      <c r="E19" s="368">
        <f>SUM('2b1_43:2b4_31'!E19)</f>
        <v>37622.767</v>
      </c>
    </row>
    <row r="20" spans="1:5" x14ac:dyDescent="0.25">
      <c r="A20" s="61" t="s">
        <v>690</v>
      </c>
      <c r="B20" s="89">
        <v>524</v>
      </c>
      <c r="C20" s="90" t="s">
        <v>39</v>
      </c>
      <c r="D20" s="367">
        <f>SUM('2b1_43:2b4_31'!D20)</f>
        <v>48770.108</v>
      </c>
      <c r="E20" s="368">
        <f>SUM('2b1_43:2b4_31'!E20)</f>
        <v>12256.155000000001</v>
      </c>
    </row>
    <row r="21" spans="1:5" x14ac:dyDescent="0.25">
      <c r="A21" s="61" t="s">
        <v>691</v>
      </c>
      <c r="B21" s="89">
        <v>525</v>
      </c>
      <c r="C21" s="90" t="s">
        <v>42</v>
      </c>
      <c r="D21" s="367">
        <f>SUM('2b1_43:2b4_31'!D21)</f>
        <v>0</v>
      </c>
      <c r="E21" s="368">
        <f>SUM('2b1_43:2b4_31'!E21)</f>
        <v>0</v>
      </c>
    </row>
    <row r="22" spans="1:5" x14ac:dyDescent="0.25">
      <c r="A22" s="61" t="s">
        <v>692</v>
      </c>
      <c r="B22" s="89">
        <v>527</v>
      </c>
      <c r="C22" s="90" t="s">
        <v>44</v>
      </c>
      <c r="D22" s="367">
        <f>SUM('2b1_43:2b4_31'!D22)</f>
        <v>7296.0110000000004</v>
      </c>
      <c r="E22" s="368">
        <f>SUM('2b1_43:2b4_31'!E22)</f>
        <v>1452.0290800000002</v>
      </c>
    </row>
    <row r="23" spans="1:5" x14ac:dyDescent="0.25">
      <c r="A23" s="61" t="s">
        <v>693</v>
      </c>
      <c r="B23" s="89">
        <v>528</v>
      </c>
      <c r="C23" s="90" t="s">
        <v>47</v>
      </c>
      <c r="D23" s="367">
        <f>SUM('2b1_43:2b4_31'!D23)</f>
        <v>2355.8000000000002</v>
      </c>
      <c r="E23" s="368">
        <f>SUM('2b1_43:2b4_31'!E23)</f>
        <v>127</v>
      </c>
    </row>
    <row r="24" spans="1:5" x14ac:dyDescent="0.25">
      <c r="A24" s="61" t="s">
        <v>694</v>
      </c>
      <c r="B24" s="89" t="s">
        <v>695</v>
      </c>
      <c r="C24" s="90" t="s">
        <v>50</v>
      </c>
      <c r="D24" s="365">
        <f>D25</f>
        <v>0</v>
      </c>
      <c r="E24" s="373">
        <f>E25</f>
        <v>624.17190000000005</v>
      </c>
    </row>
    <row r="25" spans="1:5" x14ac:dyDescent="0.25">
      <c r="A25" s="61" t="s">
        <v>696</v>
      </c>
      <c r="B25" s="89">
        <v>53</v>
      </c>
      <c r="C25" s="90" t="s">
        <v>53</v>
      </c>
      <c r="D25" s="367">
        <f>SUM('2b1_43:2b4_31'!D25)</f>
        <v>0</v>
      </c>
      <c r="E25" s="368">
        <f>SUM('2b1_43:2b4_31'!E25)</f>
        <v>624.17190000000005</v>
      </c>
    </row>
    <row r="26" spans="1:5" x14ac:dyDescent="0.25">
      <c r="A26" s="61" t="s">
        <v>697</v>
      </c>
      <c r="B26" s="89" t="s">
        <v>698</v>
      </c>
      <c r="C26" s="90" t="s">
        <v>56</v>
      </c>
      <c r="D26" s="365">
        <f>SUM(D27:D33)</f>
        <v>3090.0409399999999</v>
      </c>
      <c r="E26" s="373">
        <f>SUM(E27:E33)</f>
        <v>4058.2179700000002</v>
      </c>
    </row>
    <row r="27" spans="1:5" x14ac:dyDescent="0.25">
      <c r="A27" s="61" t="s">
        <v>699</v>
      </c>
      <c r="B27" s="89">
        <v>541.54200000000003</v>
      </c>
      <c r="C27" s="90" t="s">
        <v>58</v>
      </c>
      <c r="D27" s="367">
        <f>SUM('2b1_43:2b4_31'!D27)</f>
        <v>3.4</v>
      </c>
      <c r="E27" s="368">
        <f>SUM('2b1_43:2b4_31'!E27)</f>
        <v>0</v>
      </c>
    </row>
    <row r="28" spans="1:5" x14ac:dyDescent="0.25">
      <c r="A28" s="61" t="s">
        <v>700</v>
      </c>
      <c r="B28" s="89">
        <v>543</v>
      </c>
      <c r="C28" s="90" t="s">
        <v>60</v>
      </c>
      <c r="D28" s="367">
        <f>SUM('2b1_43:2b4_31'!D28)</f>
        <v>183.85744</v>
      </c>
      <c r="E28" s="368">
        <f>SUM('2b1_43:2b4_31'!E28)</f>
        <v>35.28</v>
      </c>
    </row>
    <row r="29" spans="1:5" x14ac:dyDescent="0.25">
      <c r="A29" s="61" t="s">
        <v>701</v>
      </c>
      <c r="B29" s="89">
        <v>544</v>
      </c>
      <c r="C29" s="90" t="s">
        <v>62</v>
      </c>
      <c r="D29" s="367">
        <f>SUM('2b1_43:2b4_31'!D29)</f>
        <v>0</v>
      </c>
      <c r="E29" s="368">
        <f>SUM('2b1_43:2b4_31'!E29)</f>
        <v>2.8E-3</v>
      </c>
    </row>
    <row r="30" spans="1:5" x14ac:dyDescent="0.25">
      <c r="A30" s="61" t="s">
        <v>702</v>
      </c>
      <c r="B30" s="89">
        <v>545</v>
      </c>
      <c r="C30" s="90" t="s">
        <v>65</v>
      </c>
      <c r="D30" s="367">
        <f>SUM('2b1_43:2b4_31'!D30)</f>
        <v>0.16081000000000001</v>
      </c>
      <c r="E30" s="368">
        <f>SUM('2b1_43:2b4_31'!E30)</f>
        <v>273.31525999999997</v>
      </c>
    </row>
    <row r="31" spans="1:5" x14ac:dyDescent="0.25">
      <c r="A31" s="61" t="s">
        <v>703</v>
      </c>
      <c r="B31" s="89">
        <v>546</v>
      </c>
      <c r="C31" s="90" t="s">
        <v>67</v>
      </c>
      <c r="D31" s="367">
        <f>SUM('2b1_43:2b4_31'!D31)</f>
        <v>0</v>
      </c>
      <c r="E31" s="368">
        <f>SUM('2b1_43:2b4_31'!E31)</f>
        <v>0</v>
      </c>
    </row>
    <row r="32" spans="1:5" x14ac:dyDescent="0.25">
      <c r="A32" s="61" t="s">
        <v>704</v>
      </c>
      <c r="B32" s="89">
        <v>548</v>
      </c>
      <c r="C32" s="90" t="s">
        <v>69</v>
      </c>
      <c r="D32" s="367">
        <f>SUM('2b1_43:2b4_31'!D32)</f>
        <v>44.167990000000003</v>
      </c>
      <c r="E32" s="368">
        <f>SUM('2b1_43:2b4_31'!E32)</f>
        <v>163.43108000000001</v>
      </c>
    </row>
    <row r="33" spans="1:5" x14ac:dyDescent="0.25">
      <c r="A33" s="61" t="s">
        <v>705</v>
      </c>
      <c r="B33" s="89">
        <v>549</v>
      </c>
      <c r="C33" s="90" t="s">
        <v>72</v>
      </c>
      <c r="D33" s="367">
        <f>SUM('2b1_43:2b4_31'!D33)</f>
        <v>2858.4546999999998</v>
      </c>
      <c r="E33" s="368">
        <f>SUM('2b1_43:2b4_31'!E33)</f>
        <v>3586.1888300000001</v>
      </c>
    </row>
    <row r="34" spans="1:5" ht="12.75" customHeight="1" x14ac:dyDescent="0.25">
      <c r="A34" s="61" t="s">
        <v>706</v>
      </c>
      <c r="B34" s="89" t="s">
        <v>707</v>
      </c>
      <c r="C34" s="90" t="s">
        <v>73</v>
      </c>
      <c r="D34" s="365">
        <f>SUM(D35:D39)</f>
        <v>28131.504680000002</v>
      </c>
      <c r="E34" s="373">
        <f>SUM(E35:E39)</f>
        <v>-899.03900999999996</v>
      </c>
    </row>
    <row r="35" spans="1:5" x14ac:dyDescent="0.25">
      <c r="A35" s="61" t="s">
        <v>708</v>
      </c>
      <c r="B35" s="89">
        <v>551</v>
      </c>
      <c r="C35" s="90" t="s">
        <v>75</v>
      </c>
      <c r="D35" s="367">
        <f>SUM('2b1_43:2b4_31'!D35)</f>
        <v>57877.726260000003</v>
      </c>
      <c r="E35" s="368">
        <f>SUM('2b1_43:2b4_31'!E35)</f>
        <v>14.601000000000001</v>
      </c>
    </row>
    <row r="36" spans="1:5" ht="12.75" customHeight="1" x14ac:dyDescent="0.25">
      <c r="A36" s="61" t="s">
        <v>709</v>
      </c>
      <c r="B36" s="89">
        <v>552</v>
      </c>
      <c r="C36" s="90" t="s">
        <v>78</v>
      </c>
      <c r="D36" s="367">
        <f>SUM('2b1_43:2b4_31'!D36)</f>
        <v>0</v>
      </c>
      <c r="E36" s="368">
        <f>SUM('2b1_43:2b4_31'!E36)</f>
        <v>0</v>
      </c>
    </row>
    <row r="37" spans="1:5" x14ac:dyDescent="0.25">
      <c r="A37" s="61" t="s">
        <v>710</v>
      </c>
      <c r="B37" s="89">
        <v>553</v>
      </c>
      <c r="C37" s="90" t="s">
        <v>81</v>
      </c>
      <c r="D37" s="367">
        <f>SUM('2b1_43:2b4_31'!D37)</f>
        <v>0</v>
      </c>
      <c r="E37" s="368">
        <f>SUM('2b1_43:2b4_31'!E37)</f>
        <v>0</v>
      </c>
    </row>
    <row r="38" spans="1:5" x14ac:dyDescent="0.25">
      <c r="A38" s="61" t="s">
        <v>711</v>
      </c>
      <c r="B38" s="89">
        <v>554</v>
      </c>
      <c r="C38" s="90" t="s">
        <v>84</v>
      </c>
      <c r="D38" s="367">
        <f>SUM('2b1_43:2b4_31'!D38)</f>
        <v>0</v>
      </c>
      <c r="E38" s="368">
        <f>SUM('2b1_43:2b4_31'!E38)</f>
        <v>0</v>
      </c>
    </row>
    <row r="39" spans="1:5" x14ac:dyDescent="0.25">
      <c r="A39" s="61" t="s">
        <v>712</v>
      </c>
      <c r="B39" s="89" t="s">
        <v>713</v>
      </c>
      <c r="C39" s="90" t="s">
        <v>86</v>
      </c>
      <c r="D39" s="367">
        <f>SUM('2b1_43:2b4_31'!D39)</f>
        <v>-29746.221580000001</v>
      </c>
      <c r="E39" s="368">
        <f>SUM('2b1_43:2b4_31'!E39)</f>
        <v>-913.64000999999996</v>
      </c>
    </row>
    <row r="40" spans="1:5" x14ac:dyDescent="0.25">
      <c r="A40" s="61" t="s">
        <v>334</v>
      </c>
      <c r="B40" s="89" t="s">
        <v>714</v>
      </c>
      <c r="C40" s="90" t="s">
        <v>88</v>
      </c>
      <c r="D40" s="365">
        <f>D41</f>
        <v>0</v>
      </c>
      <c r="E40" s="373">
        <f>E41</f>
        <v>0</v>
      </c>
    </row>
    <row r="41" spans="1:5" x14ac:dyDescent="0.25">
      <c r="A41" s="61" t="s">
        <v>715</v>
      </c>
      <c r="B41" s="89">
        <v>581</v>
      </c>
      <c r="C41" s="90" t="s">
        <v>91</v>
      </c>
      <c r="D41" s="367">
        <f>SUM('2b1_43:2b4_31'!D41)</f>
        <v>0</v>
      </c>
      <c r="E41" s="368">
        <f>SUM('2b1_43:2b4_31'!E41)</f>
        <v>0</v>
      </c>
    </row>
    <row r="42" spans="1:5" x14ac:dyDescent="0.25">
      <c r="A42" s="61" t="s">
        <v>335</v>
      </c>
      <c r="B42" s="89" t="s">
        <v>716</v>
      </c>
      <c r="C42" s="90" t="s">
        <v>93</v>
      </c>
      <c r="D42" s="365">
        <f>D43</f>
        <v>0</v>
      </c>
      <c r="E42" s="373">
        <f>E43</f>
        <v>0</v>
      </c>
    </row>
    <row r="43" spans="1:5" ht="14.25" customHeight="1" x14ac:dyDescent="0.25">
      <c r="A43" s="61" t="s">
        <v>717</v>
      </c>
      <c r="B43" s="89">
        <v>59</v>
      </c>
      <c r="C43" s="90" t="s">
        <v>96</v>
      </c>
      <c r="D43" s="367">
        <f>SUM('2b1_43:2b4_31'!D43)</f>
        <v>0</v>
      </c>
      <c r="E43" s="368">
        <f>SUM('2b1_43:2b4_31'!E43)</f>
        <v>0</v>
      </c>
    </row>
    <row r="44" spans="1:5" ht="26.25" thickBot="1" x14ac:dyDescent="0.3">
      <c r="A44" s="100" t="s">
        <v>336</v>
      </c>
      <c r="B44" s="91" t="s">
        <v>760</v>
      </c>
      <c r="C44" s="90" t="s">
        <v>99</v>
      </c>
      <c r="D44" s="412">
        <f>SUM(D7,D14,D18,D24,D26,D34,D40,D42)</f>
        <v>530816.03969999996</v>
      </c>
      <c r="E44" s="413">
        <f>SUM(E7,E14,E18,E24,E26,E34,E40,E42)</f>
        <v>149905.38751999996</v>
      </c>
    </row>
    <row r="45" spans="1:5" ht="12.75" customHeight="1" thickBot="1" x14ac:dyDescent="0.3">
      <c r="A45" s="1336" t="s">
        <v>337</v>
      </c>
      <c r="B45" s="1337"/>
      <c r="C45" s="1337"/>
      <c r="D45" s="1337"/>
      <c r="E45" s="1338"/>
    </row>
    <row r="46" spans="1:5" ht="12.75" customHeight="1" x14ac:dyDescent="0.25">
      <c r="A46" s="72" t="s">
        <v>718</v>
      </c>
      <c r="B46" s="92" t="s">
        <v>753</v>
      </c>
      <c r="C46" s="90" t="s">
        <v>103</v>
      </c>
      <c r="D46" s="365">
        <f>D47</f>
        <v>23257.259890000001</v>
      </c>
      <c r="E46" s="366">
        <f>E47</f>
        <v>0</v>
      </c>
    </row>
    <row r="47" spans="1:5" ht="12.75" customHeight="1" x14ac:dyDescent="0.25">
      <c r="A47" s="61" t="s">
        <v>719</v>
      </c>
      <c r="B47" s="93">
        <v>691</v>
      </c>
      <c r="C47" s="90" t="s">
        <v>105</v>
      </c>
      <c r="D47" s="367">
        <f>SUM('2b1_43:2b4_31'!D47)</f>
        <v>23257.259890000001</v>
      </c>
      <c r="E47" s="368">
        <f>SUM('2b1_43:2b4_31'!E47)</f>
        <v>0</v>
      </c>
    </row>
    <row r="48" spans="1:5" ht="12.75" customHeight="1" x14ac:dyDescent="0.25">
      <c r="A48" s="61" t="s">
        <v>720</v>
      </c>
      <c r="B48" s="92" t="s">
        <v>721</v>
      </c>
      <c r="C48" s="90" t="s">
        <v>107</v>
      </c>
      <c r="D48" s="365">
        <f>SUM(D49:D51)</f>
        <v>19</v>
      </c>
      <c r="E48" s="369">
        <f>SUM(E49:E51)</f>
        <v>0</v>
      </c>
    </row>
    <row r="49" spans="1:5" ht="12.75" customHeight="1" x14ac:dyDescent="0.25">
      <c r="A49" s="61" t="s">
        <v>722</v>
      </c>
      <c r="B49" s="93">
        <v>681</v>
      </c>
      <c r="C49" s="90" t="s">
        <v>110</v>
      </c>
      <c r="D49" s="367">
        <f>SUM('2b1_43:2b4_31'!D49)</f>
        <v>0</v>
      </c>
      <c r="E49" s="368">
        <f>SUM('2b1_43:2b4_31'!E49)</f>
        <v>0</v>
      </c>
    </row>
    <row r="50" spans="1:5" ht="12.75" customHeight="1" x14ac:dyDescent="0.25">
      <c r="A50" s="61" t="s">
        <v>723</v>
      </c>
      <c r="B50" s="93">
        <v>682</v>
      </c>
      <c r="C50" s="90" t="s">
        <v>113</v>
      </c>
      <c r="D50" s="367">
        <f>SUM('2b1_43:2b4_31'!D50)</f>
        <v>19</v>
      </c>
      <c r="E50" s="368">
        <f>SUM('2b1_43:2b4_31'!E50)</f>
        <v>0</v>
      </c>
    </row>
    <row r="51" spans="1:5" ht="12.75" customHeight="1" x14ac:dyDescent="0.25">
      <c r="A51" s="61" t="s">
        <v>724</v>
      </c>
      <c r="B51" s="93">
        <v>684</v>
      </c>
      <c r="C51" s="90" t="s">
        <v>116</v>
      </c>
      <c r="D51" s="367">
        <f>SUM('2b1_43:2b4_31'!D51)</f>
        <v>0</v>
      </c>
      <c r="E51" s="368">
        <f>SUM('2b1_43:2b4_31'!E51)</f>
        <v>0</v>
      </c>
    </row>
    <row r="52" spans="1:5" x14ac:dyDescent="0.25">
      <c r="A52" s="61" t="s">
        <v>725</v>
      </c>
      <c r="B52" s="94" t="s">
        <v>726</v>
      </c>
      <c r="C52" s="90" t="s">
        <v>119</v>
      </c>
      <c r="D52" s="365">
        <f>SUM('2b1_43:2b4_31'!D52)</f>
        <v>475965.57806999999</v>
      </c>
      <c r="E52" s="369">
        <f>SUM('2b1_43:2b4_31'!E52)</f>
        <v>183829.19428999998</v>
      </c>
    </row>
    <row r="53" spans="1:5" x14ac:dyDescent="0.25">
      <c r="A53" s="61" t="s">
        <v>727</v>
      </c>
      <c r="B53" s="92" t="s">
        <v>728</v>
      </c>
      <c r="C53" s="90" t="s">
        <v>122</v>
      </c>
      <c r="D53" s="365">
        <f>SUM(D54:D59)</f>
        <v>22799.080830000003</v>
      </c>
      <c r="E53" s="369">
        <f>SUM(E54:E59)</f>
        <v>1094.2210500000001</v>
      </c>
    </row>
    <row r="54" spans="1:5" x14ac:dyDescent="0.25">
      <c r="A54" s="61" t="s">
        <v>729</v>
      </c>
      <c r="B54" s="94">
        <v>641.64200000000005</v>
      </c>
      <c r="C54" s="90" t="s">
        <v>124</v>
      </c>
      <c r="D54" s="367">
        <f>SUM('2b1_43:2b4_31'!D54)</f>
        <v>538.75</v>
      </c>
      <c r="E54" s="368">
        <f>SUM('2b1_43:2b4_31'!E54)</f>
        <v>0</v>
      </c>
    </row>
    <row r="55" spans="1:5" x14ac:dyDescent="0.25">
      <c r="A55" s="61" t="s">
        <v>730</v>
      </c>
      <c r="B55" s="95">
        <v>643</v>
      </c>
      <c r="C55" s="90" t="s">
        <v>127</v>
      </c>
      <c r="D55" s="367">
        <f>SUM('2b1_43:2b4_31'!D55)</f>
        <v>0</v>
      </c>
      <c r="E55" s="368">
        <f>SUM('2b1_43:2b4_31'!E55)</f>
        <v>0</v>
      </c>
    </row>
    <row r="56" spans="1:5" x14ac:dyDescent="0.25">
      <c r="A56" s="61" t="s">
        <v>731</v>
      </c>
      <c r="B56" s="93">
        <v>644</v>
      </c>
      <c r="C56" s="90" t="s">
        <v>130</v>
      </c>
      <c r="D56" s="367">
        <f>SUM('2b1_43:2b4_31'!D56)</f>
        <v>1.0786800000000001</v>
      </c>
      <c r="E56" s="368">
        <f>SUM('2b1_43:2b4_31'!E56)</f>
        <v>562.87755000000004</v>
      </c>
    </row>
    <row r="57" spans="1:5" x14ac:dyDescent="0.25">
      <c r="A57" s="61" t="s">
        <v>732</v>
      </c>
      <c r="B57" s="93">
        <v>645</v>
      </c>
      <c r="C57" s="90" t="s">
        <v>133</v>
      </c>
      <c r="D57" s="367">
        <f>SUM('2b1_43:2b4_31'!D57)</f>
        <v>0</v>
      </c>
      <c r="E57" s="368">
        <f>SUM('2b1_43:2b4_31'!E57)</f>
        <v>176.70850999999999</v>
      </c>
    </row>
    <row r="58" spans="1:5" x14ac:dyDescent="0.25">
      <c r="A58" s="61" t="s">
        <v>733</v>
      </c>
      <c r="B58" s="93">
        <v>648</v>
      </c>
      <c r="C58" s="90" t="s">
        <v>135</v>
      </c>
      <c r="D58" s="367">
        <f>SUM('2b1_43:2b4_31'!D58)</f>
        <v>2345.8000000000002</v>
      </c>
      <c r="E58" s="368">
        <f>SUM('2b1_43:2b4_31'!E58)</f>
        <v>125.2</v>
      </c>
    </row>
    <row r="59" spans="1:5" x14ac:dyDescent="0.25">
      <c r="A59" s="61" t="s">
        <v>734</v>
      </c>
      <c r="B59" s="93">
        <v>649</v>
      </c>
      <c r="C59" s="90" t="s">
        <v>138</v>
      </c>
      <c r="D59" s="367">
        <f>SUM('2b1_43:2b4_31'!D59)</f>
        <v>19913.452150000001</v>
      </c>
      <c r="E59" s="368">
        <f>SUM('2b1_43:2b4_31'!E59)</f>
        <v>229.43499000000003</v>
      </c>
    </row>
    <row r="60" spans="1:5" x14ac:dyDescent="0.25">
      <c r="A60" s="61" t="s">
        <v>735</v>
      </c>
      <c r="B60" s="92" t="s">
        <v>736</v>
      </c>
      <c r="C60" s="90" t="s">
        <v>141</v>
      </c>
      <c r="D60" s="365">
        <f>SUM(D61:D65)</f>
        <v>0</v>
      </c>
      <c r="E60" s="369">
        <f>SUM(E61:E65)</f>
        <v>0</v>
      </c>
    </row>
    <row r="61" spans="1:5" x14ac:dyDescent="0.25">
      <c r="A61" s="61" t="s">
        <v>737</v>
      </c>
      <c r="B61" s="93">
        <v>652</v>
      </c>
      <c r="C61" s="90" t="s">
        <v>144</v>
      </c>
      <c r="D61" s="367">
        <f>SUM('2b1_43:2b4_31'!D61)</f>
        <v>0</v>
      </c>
      <c r="E61" s="368">
        <f>SUM('2b1_43:2b4_31'!E61)</f>
        <v>0</v>
      </c>
    </row>
    <row r="62" spans="1:5" x14ac:dyDescent="0.25">
      <c r="A62" s="61" t="s">
        <v>738</v>
      </c>
      <c r="B62" s="93">
        <v>653</v>
      </c>
      <c r="C62" s="90" t="s">
        <v>146</v>
      </c>
      <c r="D62" s="367">
        <f>SUM('2b1_43:2b4_31'!D62)</f>
        <v>0</v>
      </c>
      <c r="E62" s="368">
        <f>SUM('2b1_43:2b4_31'!E62)</f>
        <v>0</v>
      </c>
    </row>
    <row r="63" spans="1:5" x14ac:dyDescent="0.25">
      <c r="A63" s="61" t="s">
        <v>739</v>
      </c>
      <c r="B63" s="93">
        <v>654</v>
      </c>
      <c r="C63" s="90" t="s">
        <v>149</v>
      </c>
      <c r="D63" s="367">
        <f>SUM('2b1_43:2b4_31'!D63)</f>
        <v>0</v>
      </c>
      <c r="E63" s="368">
        <f>SUM('2b1_43:2b4_31'!E63)</f>
        <v>0</v>
      </c>
    </row>
    <row r="64" spans="1:5" x14ac:dyDescent="0.25">
      <c r="A64" s="61" t="s">
        <v>740</v>
      </c>
      <c r="B64" s="93">
        <v>655</v>
      </c>
      <c r="C64" s="90" t="s">
        <v>152</v>
      </c>
      <c r="D64" s="367">
        <f>SUM('2b1_43:2b4_31'!D64)</f>
        <v>0</v>
      </c>
      <c r="E64" s="368">
        <f>SUM('2b1_43:2b4_31'!E64)</f>
        <v>0</v>
      </c>
    </row>
    <row r="65" spans="1:5" x14ac:dyDescent="0.25">
      <c r="A65" s="61" t="s">
        <v>741</v>
      </c>
      <c r="B65" s="93">
        <v>657</v>
      </c>
      <c r="C65" s="90" t="s">
        <v>154</v>
      </c>
      <c r="D65" s="367">
        <f>SUM('2b1_43:2b4_31'!D65)</f>
        <v>0</v>
      </c>
      <c r="E65" s="368">
        <f>SUM('2b1_43:2b4_31'!E65)</f>
        <v>0</v>
      </c>
    </row>
    <row r="66" spans="1:5" ht="15" customHeight="1" thickBot="1" x14ac:dyDescent="0.3">
      <c r="A66" s="100" t="s">
        <v>338</v>
      </c>
      <c r="B66" s="91" t="s">
        <v>742</v>
      </c>
      <c r="C66" s="96" t="s">
        <v>157</v>
      </c>
      <c r="D66" s="412">
        <f>SUM(D46,D48,D52:D53,D60)</f>
        <v>522040.91878999997</v>
      </c>
      <c r="E66" s="413">
        <f>SUM(E46,E48,E52:E53,E60)</f>
        <v>184923.41533999998</v>
      </c>
    </row>
    <row r="67" spans="1:5" x14ac:dyDescent="0.25">
      <c r="A67" s="58" t="s">
        <v>339</v>
      </c>
      <c r="B67" s="92" t="s">
        <v>755</v>
      </c>
      <c r="C67" s="88" t="s">
        <v>160</v>
      </c>
      <c r="D67" s="414">
        <f>D66-D44+D42</f>
        <v>-8775.1209099999978</v>
      </c>
      <c r="E67" s="415">
        <f>E66-E44+E42</f>
        <v>35018.027820000018</v>
      </c>
    </row>
    <row r="68" spans="1:5" x14ac:dyDescent="0.25">
      <c r="A68" s="97" t="s">
        <v>340</v>
      </c>
      <c r="B68" s="92" t="s">
        <v>754</v>
      </c>
      <c r="C68" s="90" t="s">
        <v>163</v>
      </c>
      <c r="D68" s="416">
        <f>D66-D44</f>
        <v>-8775.1209099999978</v>
      </c>
      <c r="E68" s="417">
        <f>E66-E44</f>
        <v>35018.027820000018</v>
      </c>
    </row>
    <row r="69" spans="1:5" x14ac:dyDescent="0.25">
      <c r="A69" s="58"/>
      <c r="B69" s="98"/>
      <c r="C69" s="90"/>
      <c r="D69" s="1326" t="s">
        <v>757</v>
      </c>
      <c r="E69" s="1327"/>
    </row>
    <row r="70" spans="1:5" x14ac:dyDescent="0.25">
      <c r="A70" s="58" t="s">
        <v>743</v>
      </c>
      <c r="B70" s="99" t="s">
        <v>744</v>
      </c>
      <c r="C70" s="90" t="s">
        <v>166</v>
      </c>
      <c r="D70" s="1328">
        <f>+D67+E67</f>
        <v>26242.90691000002</v>
      </c>
      <c r="E70" s="1329"/>
    </row>
    <row r="71" spans="1:5" ht="13.5" thickBot="1" x14ac:dyDescent="0.3">
      <c r="A71" s="100" t="s">
        <v>745</v>
      </c>
      <c r="B71" s="74" t="s">
        <v>746</v>
      </c>
      <c r="C71" s="96" t="s">
        <v>168</v>
      </c>
      <c r="D71" s="1330">
        <f>+D68+E68</f>
        <v>26242.90691000002</v>
      </c>
      <c r="E71" s="1331"/>
    </row>
    <row r="72" spans="1:5" ht="12.75" customHeight="1" x14ac:dyDescent="0.25">
      <c r="A72" s="101"/>
      <c r="B72" s="80"/>
      <c r="C72" s="80"/>
    </row>
    <row r="73" spans="1:5" ht="12.75" customHeight="1" x14ac:dyDescent="0.25">
      <c r="A73" s="76" t="s">
        <v>467</v>
      </c>
      <c r="B73" s="80"/>
      <c r="C73" s="80"/>
    </row>
    <row r="74" spans="1:5" ht="12.75" customHeight="1" x14ac:dyDescent="0.25">
      <c r="A74" s="19" t="s">
        <v>747</v>
      </c>
      <c r="B74" s="80"/>
      <c r="C74" s="80"/>
    </row>
    <row r="75" spans="1:5" x14ac:dyDescent="0.25">
      <c r="A75" s="19" t="s">
        <v>748</v>
      </c>
      <c r="B75" s="81"/>
      <c r="C75" s="81"/>
    </row>
    <row r="76" spans="1:5" x14ac:dyDescent="0.25">
      <c r="A76" s="19" t="s">
        <v>668</v>
      </c>
      <c r="B76" s="81"/>
      <c r="C76" s="81"/>
    </row>
    <row r="77" spans="1:5" x14ac:dyDescent="0.25">
      <c r="A77" s="19" t="s">
        <v>669</v>
      </c>
    </row>
  </sheetData>
  <mergeCells count="9">
    <mergeCell ref="D69:E69"/>
    <mergeCell ref="D70:E70"/>
    <mergeCell ref="D71:E71"/>
    <mergeCell ref="A1:E1"/>
    <mergeCell ref="A2:E2"/>
    <mergeCell ref="A3:E3"/>
    <mergeCell ref="A4:E4"/>
    <mergeCell ref="B6:C6"/>
    <mergeCell ref="A45:E45"/>
  </mergeCells>
  <printOptions horizontalCentered="1" verticalCentered="1"/>
  <pageMargins left="0.70866141732283472" right="0" top="0.19685039370078741" bottom="0.19685039370078741" header="0.51181102362204722" footer="0.51181102362204722"/>
  <pageSetup paperSize="9" scale="80" orientation="portrait" r:id="rId1"/>
  <headerFooter alignWithMargins="0"/>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77"/>
  <sheetViews>
    <sheetView zoomScaleNormal="100" workbookViewId="0">
      <pane ySplit="5" topLeftCell="A66" activePane="bottomLeft" state="frozenSplit"/>
      <selection activeCell="E63" sqref="E63"/>
      <selection pane="bottomLeft" activeCell="E63" sqref="E63"/>
    </sheetView>
  </sheetViews>
  <sheetFormatPr defaultColWidth="9.140625" defaultRowHeight="12.75" x14ac:dyDescent="0.25"/>
  <cols>
    <col min="1" max="1" width="60.28515625" style="76" customWidth="1"/>
    <col min="2" max="2" width="16.7109375" style="102" customWidth="1"/>
    <col min="3" max="3" width="9.140625" style="102"/>
    <col min="4" max="4" width="12.5703125" style="78" customWidth="1"/>
    <col min="5" max="5" width="15.140625" style="78" customWidth="1"/>
    <col min="6" max="6" width="9.140625" style="19"/>
    <col min="7" max="7" width="7.42578125" style="19" bestFit="1" customWidth="1"/>
    <col min="8" max="16384" width="9.140625" style="19"/>
  </cols>
  <sheetData>
    <row r="1" spans="1:7" ht="23.25" x14ac:dyDescent="0.25">
      <c r="A1" s="1340" t="s">
        <v>1042</v>
      </c>
      <c r="B1" s="1340"/>
      <c r="C1" s="1340"/>
      <c r="D1" s="1340"/>
      <c r="E1" s="1340"/>
    </row>
    <row r="2" spans="1:7" ht="12.75" customHeight="1" thickBot="1" x14ac:dyDescent="0.3">
      <c r="A2" s="1333"/>
      <c r="B2" s="1333"/>
      <c r="C2" s="1333"/>
      <c r="D2" s="1333"/>
      <c r="E2" s="1333"/>
    </row>
    <row r="3" spans="1:7" ht="27.95" customHeight="1" thickBot="1" x14ac:dyDescent="0.3">
      <c r="A3" s="1318" t="s">
        <v>670</v>
      </c>
      <c r="B3" s="1319"/>
      <c r="C3" s="1319"/>
      <c r="D3" s="1319"/>
      <c r="E3" s="1320"/>
    </row>
    <row r="4" spans="1:7" ht="15" customHeight="1" thickBot="1" x14ac:dyDescent="0.3">
      <c r="A4" s="1321" t="s">
        <v>441</v>
      </c>
      <c r="B4" s="1322"/>
      <c r="C4" s="1322"/>
      <c r="D4" s="1322"/>
      <c r="E4" s="1323"/>
      <c r="G4" s="589" t="s">
        <v>371</v>
      </c>
    </row>
    <row r="5" spans="1:7" s="85" customFormat="1" ht="39" thickBot="1" x14ac:dyDescent="0.3">
      <c r="A5" s="82" t="s">
        <v>671</v>
      </c>
      <c r="B5" s="83" t="s">
        <v>564</v>
      </c>
      <c r="C5" s="84" t="s">
        <v>672</v>
      </c>
      <c r="D5" s="56" t="s">
        <v>758</v>
      </c>
      <c r="E5" s="57" t="s">
        <v>759</v>
      </c>
    </row>
    <row r="6" spans="1:7" s="85" customFormat="1" x14ac:dyDescent="0.25">
      <c r="A6" s="86" t="s">
        <v>333</v>
      </c>
      <c r="B6" s="1334"/>
      <c r="C6" s="1335"/>
      <c r="D6" s="59" t="s">
        <v>429</v>
      </c>
      <c r="E6" s="60" t="s">
        <v>430</v>
      </c>
    </row>
    <row r="7" spans="1:7" x14ac:dyDescent="0.25">
      <c r="A7" s="72" t="s">
        <v>673</v>
      </c>
      <c r="B7" s="87" t="s">
        <v>674</v>
      </c>
      <c r="C7" s="88" t="s">
        <v>2</v>
      </c>
      <c r="D7" s="371">
        <f>SUM(D8:D13)</f>
        <v>287690.57471999998</v>
      </c>
      <c r="E7" s="372">
        <f>SUM(E8:E13)</f>
        <v>80632.343090000009</v>
      </c>
      <c r="G7" s="590">
        <f>D7+E7</f>
        <v>368322.91781000001</v>
      </c>
    </row>
    <row r="8" spans="1:7" x14ac:dyDescent="0.25">
      <c r="A8" s="61" t="s">
        <v>675</v>
      </c>
      <c r="B8" s="89" t="s">
        <v>676</v>
      </c>
      <c r="C8" s="90" t="s">
        <v>5</v>
      </c>
      <c r="D8" s="367">
        <v>163343.524</v>
      </c>
      <c r="E8" s="368">
        <v>52531.265639999998</v>
      </c>
      <c r="G8" s="590">
        <f t="shared" ref="G8:G68" si="0">D8+E8</f>
        <v>215874.78964</v>
      </c>
    </row>
    <row r="9" spans="1:7" x14ac:dyDescent="0.25">
      <c r="A9" s="61" t="s">
        <v>677</v>
      </c>
      <c r="B9" s="89">
        <v>504</v>
      </c>
      <c r="C9" s="90" t="s">
        <v>8</v>
      </c>
      <c r="D9" s="367">
        <v>0</v>
      </c>
      <c r="E9" s="368">
        <v>5472.8064700000004</v>
      </c>
      <c r="G9" s="590">
        <f t="shared" si="0"/>
        <v>5472.8064700000004</v>
      </c>
    </row>
    <row r="10" spans="1:7" x14ac:dyDescent="0.25">
      <c r="A10" s="61" t="s">
        <v>678</v>
      </c>
      <c r="B10" s="89">
        <v>511</v>
      </c>
      <c r="C10" s="90" t="s">
        <v>11</v>
      </c>
      <c r="D10" s="367">
        <v>87691.001759999999</v>
      </c>
      <c r="E10" s="368">
        <v>8710.0605899999991</v>
      </c>
      <c r="G10" s="590">
        <f t="shared" si="0"/>
        <v>96401.062349999993</v>
      </c>
    </row>
    <row r="11" spans="1:7" x14ac:dyDescent="0.25">
      <c r="A11" s="61" t="s">
        <v>679</v>
      </c>
      <c r="B11" s="89">
        <v>512</v>
      </c>
      <c r="C11" s="90" t="s">
        <v>14</v>
      </c>
      <c r="D11" s="367">
        <v>55.749000000000002</v>
      </c>
      <c r="E11" s="368">
        <v>0.06</v>
      </c>
      <c r="G11" s="590">
        <f t="shared" si="0"/>
        <v>55.809000000000005</v>
      </c>
    </row>
    <row r="12" spans="1:7" x14ac:dyDescent="0.25">
      <c r="A12" s="61" t="s">
        <v>680</v>
      </c>
      <c r="B12" s="89">
        <v>513</v>
      </c>
      <c r="C12" s="90" t="s">
        <v>17</v>
      </c>
      <c r="D12" s="367">
        <v>0</v>
      </c>
      <c r="E12" s="368">
        <v>14.275069999999999</v>
      </c>
      <c r="G12" s="590">
        <f t="shared" si="0"/>
        <v>14.275069999999999</v>
      </c>
    </row>
    <row r="13" spans="1:7" x14ac:dyDescent="0.25">
      <c r="A13" s="61" t="s">
        <v>681</v>
      </c>
      <c r="B13" s="89">
        <v>518</v>
      </c>
      <c r="C13" s="90" t="s">
        <v>20</v>
      </c>
      <c r="D13" s="367">
        <v>36600.299959999997</v>
      </c>
      <c r="E13" s="368">
        <v>13903.875319999999</v>
      </c>
      <c r="G13" s="590">
        <f t="shared" si="0"/>
        <v>50504.175279999996</v>
      </c>
    </row>
    <row r="14" spans="1:7" x14ac:dyDescent="0.25">
      <c r="A14" s="61" t="s">
        <v>682</v>
      </c>
      <c r="B14" s="87" t="s">
        <v>683</v>
      </c>
      <c r="C14" s="90" t="s">
        <v>23</v>
      </c>
      <c r="D14" s="371">
        <f>SUM(D15:D17)</f>
        <v>0</v>
      </c>
      <c r="E14" s="373">
        <f>SUM(E15:E17)</f>
        <v>0</v>
      </c>
      <c r="G14" s="590">
        <f t="shared" si="0"/>
        <v>0</v>
      </c>
    </row>
    <row r="15" spans="1:7" x14ac:dyDescent="0.25">
      <c r="A15" s="61" t="s">
        <v>684</v>
      </c>
      <c r="B15" s="89">
        <v>56</v>
      </c>
      <c r="C15" s="90" t="s">
        <v>26</v>
      </c>
      <c r="D15" s="367"/>
      <c r="E15" s="368"/>
      <c r="G15" s="590">
        <f t="shared" si="0"/>
        <v>0</v>
      </c>
    </row>
    <row r="16" spans="1:7" x14ac:dyDescent="0.25">
      <c r="A16" s="61" t="s">
        <v>685</v>
      </c>
      <c r="B16" s="89">
        <v>571.572</v>
      </c>
      <c r="C16" s="90" t="s">
        <v>29</v>
      </c>
      <c r="D16" s="367"/>
      <c r="E16" s="368"/>
      <c r="G16" s="590">
        <f t="shared" si="0"/>
        <v>0</v>
      </c>
    </row>
    <row r="17" spans="1:7" x14ac:dyDescent="0.25">
      <c r="A17" s="61" t="s">
        <v>686</v>
      </c>
      <c r="B17" s="89">
        <v>573.57399999999996</v>
      </c>
      <c r="C17" s="90" t="s">
        <v>32</v>
      </c>
      <c r="D17" s="367"/>
      <c r="E17" s="368"/>
      <c r="G17" s="590">
        <f t="shared" si="0"/>
        <v>0</v>
      </c>
    </row>
    <row r="18" spans="1:7" x14ac:dyDescent="0.25">
      <c r="A18" s="61" t="s">
        <v>687</v>
      </c>
      <c r="B18" s="89" t="s">
        <v>688</v>
      </c>
      <c r="C18" s="90" t="s">
        <v>34</v>
      </c>
      <c r="D18" s="365">
        <f>SUM(D19:D23)</f>
        <v>194712.03400000001</v>
      </c>
      <c r="E18" s="373">
        <f>SUM(E19:E23)</f>
        <v>43872.259080000003</v>
      </c>
      <c r="G18" s="590">
        <f t="shared" si="0"/>
        <v>238584.29308000003</v>
      </c>
    </row>
    <row r="19" spans="1:7" x14ac:dyDescent="0.25">
      <c r="A19" s="61" t="s">
        <v>689</v>
      </c>
      <c r="B19" s="89">
        <v>521</v>
      </c>
      <c r="C19" s="90" t="s">
        <v>37</v>
      </c>
      <c r="D19" s="367">
        <v>139034.61300000001</v>
      </c>
      <c r="E19" s="368">
        <v>32024.837</v>
      </c>
      <c r="G19" s="590">
        <f t="shared" si="0"/>
        <v>171059.45</v>
      </c>
    </row>
    <row r="20" spans="1:7" x14ac:dyDescent="0.25">
      <c r="A20" s="61" t="s">
        <v>690</v>
      </c>
      <c r="B20" s="89">
        <v>524</v>
      </c>
      <c r="C20" s="90" t="s">
        <v>39</v>
      </c>
      <c r="D20" s="367">
        <v>46032.959000000003</v>
      </c>
      <c r="E20" s="368">
        <v>10441.991</v>
      </c>
      <c r="G20" s="590">
        <f t="shared" si="0"/>
        <v>56474.950000000004</v>
      </c>
    </row>
    <row r="21" spans="1:7" x14ac:dyDescent="0.25">
      <c r="A21" s="61" t="s">
        <v>691</v>
      </c>
      <c r="B21" s="89">
        <v>525</v>
      </c>
      <c r="C21" s="90" t="s">
        <v>42</v>
      </c>
      <c r="D21" s="367">
        <v>0</v>
      </c>
      <c r="E21" s="368">
        <v>0</v>
      </c>
      <c r="G21" s="590">
        <f t="shared" si="0"/>
        <v>0</v>
      </c>
    </row>
    <row r="22" spans="1:7" x14ac:dyDescent="0.25">
      <c r="A22" s="61" t="s">
        <v>692</v>
      </c>
      <c r="B22" s="89">
        <v>527</v>
      </c>
      <c r="C22" s="90" t="s">
        <v>44</v>
      </c>
      <c r="D22" s="367">
        <v>7288.6620000000003</v>
      </c>
      <c r="E22" s="368">
        <v>1372.4310800000001</v>
      </c>
      <c r="G22" s="590">
        <f t="shared" si="0"/>
        <v>8661.0930800000006</v>
      </c>
    </row>
    <row r="23" spans="1:7" x14ac:dyDescent="0.25">
      <c r="A23" s="61" t="s">
        <v>693</v>
      </c>
      <c r="B23" s="89">
        <v>528</v>
      </c>
      <c r="C23" s="90" t="s">
        <v>47</v>
      </c>
      <c r="D23" s="367">
        <v>2355.8000000000002</v>
      </c>
      <c r="E23" s="368">
        <v>33</v>
      </c>
      <c r="G23" s="590">
        <f t="shared" si="0"/>
        <v>2388.8000000000002</v>
      </c>
    </row>
    <row r="24" spans="1:7" x14ac:dyDescent="0.25">
      <c r="A24" s="61" t="s">
        <v>694</v>
      </c>
      <c r="B24" s="89" t="s">
        <v>695</v>
      </c>
      <c r="C24" s="90" t="s">
        <v>50</v>
      </c>
      <c r="D24" s="365">
        <f>D25</f>
        <v>0</v>
      </c>
      <c r="E24" s="373">
        <f>E25</f>
        <v>624.17190000000005</v>
      </c>
      <c r="G24" s="590">
        <f t="shared" si="0"/>
        <v>624.17190000000005</v>
      </c>
    </row>
    <row r="25" spans="1:7" x14ac:dyDescent="0.25">
      <c r="A25" s="61" t="s">
        <v>696</v>
      </c>
      <c r="B25" s="89">
        <v>53</v>
      </c>
      <c r="C25" s="90" t="s">
        <v>53</v>
      </c>
      <c r="D25" s="367">
        <v>0</v>
      </c>
      <c r="E25" s="368">
        <v>624.17190000000005</v>
      </c>
      <c r="G25" s="590">
        <f t="shared" si="0"/>
        <v>624.17190000000005</v>
      </c>
    </row>
    <row r="26" spans="1:7" x14ac:dyDescent="0.25">
      <c r="A26" s="61" t="s">
        <v>697</v>
      </c>
      <c r="B26" s="89" t="s">
        <v>698</v>
      </c>
      <c r="C26" s="90" t="s">
        <v>56</v>
      </c>
      <c r="D26" s="365">
        <f>SUM(D27:D33)</f>
        <v>2728.0206099999996</v>
      </c>
      <c r="E26" s="373">
        <f>SUM(E27:E33)</f>
        <v>2756.3410800000001</v>
      </c>
      <c r="G26" s="590">
        <f t="shared" si="0"/>
        <v>5484.3616899999997</v>
      </c>
    </row>
    <row r="27" spans="1:7" x14ac:dyDescent="0.25">
      <c r="A27" s="61" t="s">
        <v>699</v>
      </c>
      <c r="B27" s="89">
        <v>541.54200000000003</v>
      </c>
      <c r="C27" s="90" t="s">
        <v>58</v>
      </c>
      <c r="D27" s="367">
        <v>3.4</v>
      </c>
      <c r="E27" s="368">
        <v>0</v>
      </c>
      <c r="G27" s="590">
        <f t="shared" si="0"/>
        <v>3.4</v>
      </c>
    </row>
    <row r="28" spans="1:7" x14ac:dyDescent="0.25">
      <c r="A28" s="61" t="s">
        <v>700</v>
      </c>
      <c r="B28" s="89">
        <v>543</v>
      </c>
      <c r="C28" s="90" t="s">
        <v>60</v>
      </c>
      <c r="D28" s="367">
        <v>183.85744</v>
      </c>
      <c r="E28" s="368">
        <v>35.28</v>
      </c>
      <c r="G28" s="590">
        <f t="shared" si="0"/>
        <v>219.13744</v>
      </c>
    </row>
    <row r="29" spans="1:7" x14ac:dyDescent="0.25">
      <c r="A29" s="61" t="s">
        <v>701</v>
      </c>
      <c r="B29" s="89">
        <v>544</v>
      </c>
      <c r="C29" s="90" t="s">
        <v>62</v>
      </c>
      <c r="D29" s="367">
        <v>0</v>
      </c>
      <c r="E29" s="368">
        <v>2.8E-3</v>
      </c>
      <c r="G29" s="590">
        <f t="shared" si="0"/>
        <v>2.8E-3</v>
      </c>
    </row>
    <row r="30" spans="1:7" x14ac:dyDescent="0.25">
      <c r="A30" s="61" t="s">
        <v>702</v>
      </c>
      <c r="B30" s="89">
        <v>545</v>
      </c>
      <c r="C30" s="90" t="s">
        <v>65</v>
      </c>
      <c r="D30" s="367">
        <v>0</v>
      </c>
      <c r="E30" s="368">
        <v>271.71339999999998</v>
      </c>
      <c r="G30" s="590">
        <f t="shared" si="0"/>
        <v>271.71339999999998</v>
      </c>
    </row>
    <row r="31" spans="1:7" x14ac:dyDescent="0.25">
      <c r="A31" s="61" t="s">
        <v>703</v>
      </c>
      <c r="B31" s="89">
        <v>546</v>
      </c>
      <c r="C31" s="90" t="s">
        <v>67</v>
      </c>
      <c r="D31" s="367">
        <v>0</v>
      </c>
      <c r="E31" s="368">
        <v>0</v>
      </c>
      <c r="G31" s="590">
        <f t="shared" si="0"/>
        <v>0</v>
      </c>
    </row>
    <row r="32" spans="1:7" x14ac:dyDescent="0.25">
      <c r="A32" s="61" t="s">
        <v>704</v>
      </c>
      <c r="B32" s="89">
        <v>548</v>
      </c>
      <c r="C32" s="90" t="s">
        <v>69</v>
      </c>
      <c r="D32" s="367">
        <v>44.167990000000003</v>
      </c>
      <c r="E32" s="368">
        <v>111.73491</v>
      </c>
      <c r="G32" s="590">
        <f t="shared" si="0"/>
        <v>155.90289999999999</v>
      </c>
    </row>
    <row r="33" spans="1:7" x14ac:dyDescent="0.25">
      <c r="A33" s="61" t="s">
        <v>705</v>
      </c>
      <c r="B33" s="89">
        <v>549</v>
      </c>
      <c r="C33" s="90" t="s">
        <v>72</v>
      </c>
      <c r="D33" s="367">
        <v>2496.5951799999998</v>
      </c>
      <c r="E33" s="368">
        <v>2337.60997</v>
      </c>
      <c r="G33" s="590">
        <f t="shared" si="0"/>
        <v>4834.2051499999998</v>
      </c>
    </row>
    <row r="34" spans="1:7" ht="12.75" customHeight="1" x14ac:dyDescent="0.25">
      <c r="A34" s="61" t="s">
        <v>706</v>
      </c>
      <c r="B34" s="89" t="s">
        <v>707</v>
      </c>
      <c r="C34" s="90" t="s">
        <v>73</v>
      </c>
      <c r="D34" s="365">
        <f>SUM(D35:D39)</f>
        <v>25332.756680000002</v>
      </c>
      <c r="E34" s="373">
        <f>SUM(E35:E39)</f>
        <v>-913.64000999999996</v>
      </c>
      <c r="G34" s="590">
        <f t="shared" si="0"/>
        <v>24419.116670000003</v>
      </c>
    </row>
    <row r="35" spans="1:7" x14ac:dyDescent="0.25">
      <c r="A35" s="61" t="s">
        <v>708</v>
      </c>
      <c r="B35" s="89">
        <v>551</v>
      </c>
      <c r="C35" s="90" t="s">
        <v>75</v>
      </c>
      <c r="D35" s="367">
        <v>55078.978260000004</v>
      </c>
      <c r="E35" s="368">
        <v>0</v>
      </c>
      <c r="G35" s="590">
        <f t="shared" si="0"/>
        <v>55078.978260000004</v>
      </c>
    </row>
    <row r="36" spans="1:7" ht="12.75" customHeight="1" x14ac:dyDescent="0.25">
      <c r="A36" s="61" t="s">
        <v>709</v>
      </c>
      <c r="B36" s="89">
        <v>552</v>
      </c>
      <c r="C36" s="90" t="s">
        <v>78</v>
      </c>
      <c r="D36" s="367">
        <v>0</v>
      </c>
      <c r="E36" s="368">
        <v>0</v>
      </c>
      <c r="G36" s="590">
        <f t="shared" si="0"/>
        <v>0</v>
      </c>
    </row>
    <row r="37" spans="1:7" x14ac:dyDescent="0.25">
      <c r="A37" s="61" t="s">
        <v>710</v>
      </c>
      <c r="B37" s="89">
        <v>553</v>
      </c>
      <c r="C37" s="90" t="s">
        <v>81</v>
      </c>
      <c r="D37" s="367">
        <v>0</v>
      </c>
      <c r="E37" s="368">
        <v>0</v>
      </c>
      <c r="G37" s="590">
        <f t="shared" si="0"/>
        <v>0</v>
      </c>
    </row>
    <row r="38" spans="1:7" x14ac:dyDescent="0.25">
      <c r="A38" s="61" t="s">
        <v>711</v>
      </c>
      <c r="B38" s="89">
        <v>554</v>
      </c>
      <c r="C38" s="90" t="s">
        <v>84</v>
      </c>
      <c r="D38" s="367">
        <v>0</v>
      </c>
      <c r="E38" s="368">
        <v>0</v>
      </c>
      <c r="G38" s="590">
        <f t="shared" si="0"/>
        <v>0</v>
      </c>
    </row>
    <row r="39" spans="1:7" x14ac:dyDescent="0.25">
      <c r="A39" s="61" t="s">
        <v>712</v>
      </c>
      <c r="B39" s="89" t="s">
        <v>713</v>
      </c>
      <c r="C39" s="90" t="s">
        <v>86</v>
      </c>
      <c r="D39" s="367">
        <v>-29746.221580000001</v>
      </c>
      <c r="E39" s="368">
        <v>-913.64000999999996</v>
      </c>
      <c r="G39" s="590">
        <f t="shared" si="0"/>
        <v>-30659.86159</v>
      </c>
    </row>
    <row r="40" spans="1:7" x14ac:dyDescent="0.25">
      <c r="A40" s="61" t="s">
        <v>334</v>
      </c>
      <c r="B40" s="89" t="s">
        <v>714</v>
      </c>
      <c r="C40" s="90" t="s">
        <v>88</v>
      </c>
      <c r="D40" s="365">
        <f>D41</f>
        <v>0</v>
      </c>
      <c r="E40" s="365">
        <f>E41</f>
        <v>0</v>
      </c>
      <c r="G40" s="590">
        <f t="shared" si="0"/>
        <v>0</v>
      </c>
    </row>
    <row r="41" spans="1:7" x14ac:dyDescent="0.25">
      <c r="A41" s="61" t="s">
        <v>715</v>
      </c>
      <c r="B41" s="89">
        <v>581</v>
      </c>
      <c r="C41" s="90" t="s">
        <v>91</v>
      </c>
      <c r="D41" s="367">
        <v>0</v>
      </c>
      <c r="E41" s="368">
        <v>0</v>
      </c>
      <c r="G41" s="590">
        <f t="shared" si="0"/>
        <v>0</v>
      </c>
    </row>
    <row r="42" spans="1:7" x14ac:dyDescent="0.25">
      <c r="A42" s="61" t="s">
        <v>335</v>
      </c>
      <c r="B42" s="89" t="s">
        <v>716</v>
      </c>
      <c r="C42" s="90" t="s">
        <v>93</v>
      </c>
      <c r="D42" s="365">
        <f>D43</f>
        <v>0</v>
      </c>
      <c r="E42" s="373">
        <f>E43</f>
        <v>0</v>
      </c>
      <c r="G42" s="590">
        <f t="shared" si="0"/>
        <v>0</v>
      </c>
    </row>
    <row r="43" spans="1:7" ht="14.25" customHeight="1" x14ac:dyDescent="0.25">
      <c r="A43" s="61" t="s">
        <v>717</v>
      </c>
      <c r="B43" s="89">
        <v>59</v>
      </c>
      <c r="C43" s="90" t="s">
        <v>96</v>
      </c>
      <c r="D43" s="367">
        <v>0</v>
      </c>
      <c r="E43" s="368">
        <v>0</v>
      </c>
      <c r="G43" s="590">
        <f t="shared" si="0"/>
        <v>0</v>
      </c>
    </row>
    <row r="44" spans="1:7" ht="26.25" thickBot="1" x14ac:dyDescent="0.3">
      <c r="A44" s="100" t="s">
        <v>336</v>
      </c>
      <c r="B44" s="91" t="s">
        <v>760</v>
      </c>
      <c r="C44" s="90" t="s">
        <v>99</v>
      </c>
      <c r="D44" s="412">
        <f>SUM(D7,D14,D18,D24,D26,D34,D40,D42)</f>
        <v>510463.38601000002</v>
      </c>
      <c r="E44" s="413">
        <f>SUM(E7,E14,E18,E24,E26,E34,E40,E42)</f>
        <v>126971.47514000001</v>
      </c>
      <c r="G44" s="590">
        <f t="shared" si="0"/>
        <v>637434.86115000001</v>
      </c>
    </row>
    <row r="45" spans="1:7" ht="12.75" customHeight="1" thickBot="1" x14ac:dyDescent="0.3">
      <c r="A45" s="1336" t="s">
        <v>337</v>
      </c>
      <c r="B45" s="1337"/>
      <c r="C45" s="1337"/>
      <c r="D45" s="1337"/>
      <c r="E45" s="1338"/>
      <c r="G45" s="590">
        <f t="shared" si="0"/>
        <v>0</v>
      </c>
    </row>
    <row r="46" spans="1:7" ht="12.75" customHeight="1" x14ac:dyDescent="0.25">
      <c r="A46" s="72" t="s">
        <v>718</v>
      </c>
      <c r="B46" s="92" t="s">
        <v>753</v>
      </c>
      <c r="C46" s="90" t="s">
        <v>103</v>
      </c>
      <c r="D46" s="365">
        <f>D47</f>
        <v>21413.924340000001</v>
      </c>
      <c r="E46" s="366">
        <f>E47</f>
        <v>0</v>
      </c>
      <c r="G46" s="590">
        <f t="shared" si="0"/>
        <v>21413.924340000001</v>
      </c>
    </row>
    <row r="47" spans="1:7" ht="12.75" customHeight="1" x14ac:dyDescent="0.25">
      <c r="A47" s="61" t="s">
        <v>719</v>
      </c>
      <c r="B47" s="93">
        <v>691</v>
      </c>
      <c r="C47" s="90" t="s">
        <v>105</v>
      </c>
      <c r="D47" s="367">
        <v>21413.924340000001</v>
      </c>
      <c r="E47" s="368">
        <v>0</v>
      </c>
      <c r="G47" s="590">
        <f t="shared" si="0"/>
        <v>21413.924340000001</v>
      </c>
    </row>
    <row r="48" spans="1:7" ht="12.75" customHeight="1" x14ac:dyDescent="0.25">
      <c r="A48" s="61" t="s">
        <v>720</v>
      </c>
      <c r="B48" s="92" t="s">
        <v>721</v>
      </c>
      <c r="C48" s="90" t="s">
        <v>107</v>
      </c>
      <c r="D48" s="365">
        <f>SUM(D49:D51)</f>
        <v>19</v>
      </c>
      <c r="E48" s="369">
        <f>SUM(E49:E51)</f>
        <v>0</v>
      </c>
      <c r="G48" s="590">
        <f t="shared" si="0"/>
        <v>19</v>
      </c>
    </row>
    <row r="49" spans="1:7" ht="12.75" customHeight="1" x14ac:dyDescent="0.25">
      <c r="A49" s="61" t="s">
        <v>722</v>
      </c>
      <c r="B49" s="93">
        <v>681</v>
      </c>
      <c r="C49" s="90" t="s">
        <v>110</v>
      </c>
      <c r="D49" s="367">
        <v>0</v>
      </c>
      <c r="E49" s="368">
        <v>0</v>
      </c>
      <c r="G49" s="590">
        <f t="shared" si="0"/>
        <v>0</v>
      </c>
    </row>
    <row r="50" spans="1:7" ht="12.75" customHeight="1" x14ac:dyDescent="0.25">
      <c r="A50" s="61" t="s">
        <v>723</v>
      </c>
      <c r="B50" s="93">
        <v>682</v>
      </c>
      <c r="C50" s="90" t="s">
        <v>113</v>
      </c>
      <c r="D50" s="367">
        <v>19</v>
      </c>
      <c r="E50" s="368">
        <v>0</v>
      </c>
      <c r="G50" s="590">
        <f t="shared" si="0"/>
        <v>19</v>
      </c>
    </row>
    <row r="51" spans="1:7" ht="12.75" customHeight="1" x14ac:dyDescent="0.25">
      <c r="A51" s="61" t="s">
        <v>724</v>
      </c>
      <c r="B51" s="93">
        <v>684</v>
      </c>
      <c r="C51" s="90" t="s">
        <v>116</v>
      </c>
      <c r="D51" s="367">
        <v>0</v>
      </c>
      <c r="E51" s="368">
        <v>0</v>
      </c>
      <c r="G51" s="590">
        <f t="shared" si="0"/>
        <v>0</v>
      </c>
    </row>
    <row r="52" spans="1:7" x14ac:dyDescent="0.25">
      <c r="A52" s="61" t="s">
        <v>725</v>
      </c>
      <c r="B52" s="94" t="s">
        <v>726</v>
      </c>
      <c r="C52" s="90" t="s">
        <v>119</v>
      </c>
      <c r="D52" s="782">
        <v>453093.40098999999</v>
      </c>
      <c r="E52" s="783">
        <v>145196.45621</v>
      </c>
      <c r="G52" s="590">
        <f t="shared" si="0"/>
        <v>598289.85719999997</v>
      </c>
    </row>
    <row r="53" spans="1:7" x14ac:dyDescent="0.25">
      <c r="A53" s="61" t="s">
        <v>727</v>
      </c>
      <c r="B53" s="92" t="s">
        <v>728</v>
      </c>
      <c r="C53" s="90" t="s">
        <v>122</v>
      </c>
      <c r="D53" s="365">
        <f>SUM(D54:D59)</f>
        <v>22405.221260000002</v>
      </c>
      <c r="E53" s="369">
        <f>SUM(E54:E59)</f>
        <v>888.53516000000013</v>
      </c>
      <c r="G53" s="590">
        <f t="shared" si="0"/>
        <v>23293.756420000002</v>
      </c>
    </row>
    <row r="54" spans="1:7" x14ac:dyDescent="0.25">
      <c r="A54" s="61" t="s">
        <v>729</v>
      </c>
      <c r="B54" s="94">
        <v>641.64200000000005</v>
      </c>
      <c r="C54" s="90" t="s">
        <v>124</v>
      </c>
      <c r="D54" s="367">
        <v>538.75</v>
      </c>
      <c r="E54" s="368">
        <v>0</v>
      </c>
      <c r="G54" s="590">
        <f t="shared" si="0"/>
        <v>538.75</v>
      </c>
    </row>
    <row r="55" spans="1:7" x14ac:dyDescent="0.25">
      <c r="A55" s="61" t="s">
        <v>730</v>
      </c>
      <c r="B55" s="95">
        <v>643</v>
      </c>
      <c r="C55" s="90" t="s">
        <v>127</v>
      </c>
      <c r="D55" s="367">
        <v>0</v>
      </c>
      <c r="E55" s="368">
        <v>0</v>
      </c>
      <c r="G55" s="590">
        <f t="shared" si="0"/>
        <v>0</v>
      </c>
    </row>
    <row r="56" spans="1:7" x14ac:dyDescent="0.25">
      <c r="A56" s="61" t="s">
        <v>731</v>
      </c>
      <c r="B56" s="93">
        <v>644</v>
      </c>
      <c r="C56" s="90" t="s">
        <v>130</v>
      </c>
      <c r="D56" s="367">
        <v>1.0786800000000001</v>
      </c>
      <c r="E56" s="368">
        <v>562.87755000000004</v>
      </c>
      <c r="G56" s="590">
        <f t="shared" si="0"/>
        <v>563.95623000000001</v>
      </c>
    </row>
    <row r="57" spans="1:7" x14ac:dyDescent="0.25">
      <c r="A57" s="61" t="s">
        <v>732</v>
      </c>
      <c r="B57" s="93">
        <v>645</v>
      </c>
      <c r="C57" s="90" t="s">
        <v>133</v>
      </c>
      <c r="D57" s="367">
        <v>0</v>
      </c>
      <c r="E57" s="368">
        <v>176.60753</v>
      </c>
      <c r="G57" s="590">
        <f t="shared" si="0"/>
        <v>176.60753</v>
      </c>
    </row>
    <row r="58" spans="1:7" x14ac:dyDescent="0.25">
      <c r="A58" s="61" t="s">
        <v>733</v>
      </c>
      <c r="B58" s="93">
        <v>648</v>
      </c>
      <c r="C58" s="90" t="s">
        <v>135</v>
      </c>
      <c r="D58" s="367">
        <v>2345.8000000000002</v>
      </c>
      <c r="E58" s="368">
        <v>31.2</v>
      </c>
      <c r="G58" s="590">
        <f t="shared" si="0"/>
        <v>2377</v>
      </c>
    </row>
    <row r="59" spans="1:7" x14ac:dyDescent="0.25">
      <c r="A59" s="61" t="s">
        <v>734</v>
      </c>
      <c r="B59" s="93">
        <v>649</v>
      </c>
      <c r="C59" s="90" t="s">
        <v>138</v>
      </c>
      <c r="D59" s="367">
        <v>19519.59258</v>
      </c>
      <c r="E59" s="368">
        <v>117.85008000000001</v>
      </c>
      <c r="G59" s="590">
        <f t="shared" si="0"/>
        <v>19637.442660000001</v>
      </c>
    </row>
    <row r="60" spans="1:7" x14ac:dyDescent="0.25">
      <c r="A60" s="61" t="s">
        <v>735</v>
      </c>
      <c r="B60" s="92" t="s">
        <v>736</v>
      </c>
      <c r="C60" s="90" t="s">
        <v>141</v>
      </c>
      <c r="D60" s="365">
        <f>SUM(D61:D65)</f>
        <v>0</v>
      </c>
      <c r="E60" s="369">
        <f>SUM(E61:E65)</f>
        <v>0</v>
      </c>
      <c r="G60" s="590">
        <f t="shared" si="0"/>
        <v>0</v>
      </c>
    </row>
    <row r="61" spans="1:7" x14ac:dyDescent="0.25">
      <c r="A61" s="61" t="s">
        <v>737</v>
      </c>
      <c r="B61" s="93">
        <v>652</v>
      </c>
      <c r="C61" s="90" t="s">
        <v>144</v>
      </c>
      <c r="D61" s="367"/>
      <c r="E61" s="368"/>
      <c r="G61" s="590">
        <f t="shared" si="0"/>
        <v>0</v>
      </c>
    </row>
    <row r="62" spans="1:7" x14ac:dyDescent="0.25">
      <c r="A62" s="61" t="s">
        <v>738</v>
      </c>
      <c r="B62" s="93">
        <v>653</v>
      </c>
      <c r="C62" s="90" t="s">
        <v>146</v>
      </c>
      <c r="D62" s="367"/>
      <c r="E62" s="368"/>
      <c r="G62" s="590">
        <f t="shared" si="0"/>
        <v>0</v>
      </c>
    </row>
    <row r="63" spans="1:7" x14ac:dyDescent="0.25">
      <c r="A63" s="61" t="s">
        <v>739</v>
      </c>
      <c r="B63" s="93">
        <v>654</v>
      </c>
      <c r="C63" s="90" t="s">
        <v>149</v>
      </c>
      <c r="D63" s="367"/>
      <c r="E63" s="368"/>
      <c r="G63" s="590">
        <f t="shared" si="0"/>
        <v>0</v>
      </c>
    </row>
    <row r="64" spans="1:7" x14ac:dyDescent="0.25">
      <c r="A64" s="61" t="s">
        <v>740</v>
      </c>
      <c r="B64" s="93">
        <v>655</v>
      </c>
      <c r="C64" s="90" t="s">
        <v>152</v>
      </c>
      <c r="D64" s="367"/>
      <c r="E64" s="368"/>
      <c r="G64" s="590">
        <f t="shared" si="0"/>
        <v>0</v>
      </c>
    </row>
    <row r="65" spans="1:7" x14ac:dyDescent="0.25">
      <c r="A65" s="61" t="s">
        <v>741</v>
      </c>
      <c r="B65" s="93">
        <v>657</v>
      </c>
      <c r="C65" s="90" t="s">
        <v>154</v>
      </c>
      <c r="D65" s="367"/>
      <c r="E65" s="368"/>
      <c r="G65" s="590">
        <f t="shared" si="0"/>
        <v>0</v>
      </c>
    </row>
    <row r="66" spans="1:7" ht="15" customHeight="1" thickBot="1" x14ac:dyDescent="0.3">
      <c r="A66" s="100" t="s">
        <v>338</v>
      </c>
      <c r="B66" s="91" t="s">
        <v>742</v>
      </c>
      <c r="C66" s="96" t="s">
        <v>157</v>
      </c>
      <c r="D66" s="412">
        <f>SUM(D46,D48,D52:D53,D60)</f>
        <v>496931.54659000004</v>
      </c>
      <c r="E66" s="413">
        <f>SUM(E46,E48,E52:E53,E60)</f>
        <v>146084.99137</v>
      </c>
      <c r="G66" s="590">
        <f t="shared" si="0"/>
        <v>643016.5379600001</v>
      </c>
    </row>
    <row r="67" spans="1:7" x14ac:dyDescent="0.25">
      <c r="A67" s="58" t="s">
        <v>339</v>
      </c>
      <c r="B67" s="92" t="s">
        <v>755</v>
      </c>
      <c r="C67" s="88" t="s">
        <v>160</v>
      </c>
      <c r="D67" s="414">
        <f>D66-D44+D42</f>
        <v>-13531.839419999975</v>
      </c>
      <c r="E67" s="415">
        <f>E66-E44+E42</f>
        <v>19113.516229999994</v>
      </c>
      <c r="G67" s="590">
        <f t="shared" si="0"/>
        <v>5581.676810000019</v>
      </c>
    </row>
    <row r="68" spans="1:7" x14ac:dyDescent="0.25">
      <c r="A68" s="97" t="s">
        <v>340</v>
      </c>
      <c r="B68" s="92" t="s">
        <v>754</v>
      </c>
      <c r="C68" s="90" t="s">
        <v>163</v>
      </c>
      <c r="D68" s="416">
        <f>D66-D44</f>
        <v>-13531.839419999975</v>
      </c>
      <c r="E68" s="417">
        <f>E66-E44</f>
        <v>19113.516229999994</v>
      </c>
      <c r="G68" s="590">
        <f t="shared" si="0"/>
        <v>5581.676810000019</v>
      </c>
    </row>
    <row r="69" spans="1:7" x14ac:dyDescent="0.25">
      <c r="A69" s="58"/>
      <c r="B69" s="98"/>
      <c r="C69" s="90"/>
      <c r="D69" s="1326" t="s">
        <v>757</v>
      </c>
      <c r="E69" s="1327"/>
    </row>
    <row r="70" spans="1:7" x14ac:dyDescent="0.25">
      <c r="A70" s="58" t="s">
        <v>743</v>
      </c>
      <c r="B70" s="99" t="s">
        <v>744</v>
      </c>
      <c r="C70" s="90" t="s">
        <v>166</v>
      </c>
      <c r="D70" s="1328">
        <f>+D67+E67</f>
        <v>5581.676810000019</v>
      </c>
      <c r="E70" s="1329"/>
      <c r="G70" s="590">
        <f>G67</f>
        <v>5581.676810000019</v>
      </c>
    </row>
    <row r="71" spans="1:7" ht="13.5" thickBot="1" x14ac:dyDescent="0.3">
      <c r="A71" s="100" t="s">
        <v>745</v>
      </c>
      <c r="B71" s="74" t="s">
        <v>746</v>
      </c>
      <c r="C71" s="96" t="s">
        <v>168</v>
      </c>
      <c r="D71" s="1330">
        <f>+D68+E68</f>
        <v>5581.676810000019</v>
      </c>
      <c r="E71" s="1331"/>
      <c r="G71" s="590">
        <f>G68</f>
        <v>5581.676810000019</v>
      </c>
    </row>
    <row r="72" spans="1:7" ht="12.75" customHeight="1" x14ac:dyDescent="0.25">
      <c r="A72" s="101"/>
      <c r="B72" s="80"/>
      <c r="C72" s="80"/>
    </row>
    <row r="73" spans="1:7" ht="12.75" customHeight="1" x14ac:dyDescent="0.25">
      <c r="A73" s="76" t="s">
        <v>467</v>
      </c>
      <c r="B73" s="80"/>
      <c r="C73" s="80"/>
    </row>
    <row r="74" spans="1:7" ht="12.75" customHeight="1" x14ac:dyDescent="0.25">
      <c r="A74" s="19" t="s">
        <v>747</v>
      </c>
      <c r="B74" s="80"/>
      <c r="C74" s="80"/>
    </row>
    <row r="75" spans="1:7" x14ac:dyDescent="0.25">
      <c r="A75" s="19" t="s">
        <v>748</v>
      </c>
      <c r="B75" s="81"/>
      <c r="C75" s="81"/>
    </row>
    <row r="76" spans="1:7" x14ac:dyDescent="0.25">
      <c r="A76" s="19" t="s">
        <v>668</v>
      </c>
      <c r="B76" s="81"/>
      <c r="C76" s="81"/>
    </row>
    <row r="77" spans="1:7" x14ac:dyDescent="0.25">
      <c r="A77" s="19" t="s">
        <v>669</v>
      </c>
    </row>
  </sheetData>
  <mergeCells count="9">
    <mergeCell ref="D69:E69"/>
    <mergeCell ref="D70:E70"/>
    <mergeCell ref="D71:E71"/>
    <mergeCell ref="A1:E1"/>
    <mergeCell ref="A2:E2"/>
    <mergeCell ref="A3:E3"/>
    <mergeCell ref="A4:E4"/>
    <mergeCell ref="B6:C6"/>
    <mergeCell ref="A45:E45"/>
  </mergeCells>
  <printOptions horizontalCentered="1" verticalCentered="1"/>
  <pageMargins left="0.70866141732283472" right="0" top="0.19685039370078741" bottom="0.19685039370078741" header="0.51181102362204722" footer="0.51181102362204722"/>
  <pageSetup paperSize="9" scale="72" orientation="portrait" r:id="rId1"/>
  <headerFooter alignWithMargins="0"/>
  <rowBreaks count="1" manualBreakCount="1">
    <brk id="4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G77"/>
  <sheetViews>
    <sheetView zoomScaleNormal="100" workbookViewId="0">
      <pane ySplit="5" topLeftCell="A59" activePane="bottomLeft" state="frozenSplit"/>
      <selection activeCell="E63" sqref="E63"/>
      <selection pane="bottomLeft" activeCell="E63" sqref="E63"/>
    </sheetView>
  </sheetViews>
  <sheetFormatPr defaultColWidth="9.140625" defaultRowHeight="12.75" x14ac:dyDescent="0.25"/>
  <cols>
    <col min="1" max="1" width="60.42578125" style="76" customWidth="1"/>
    <col min="2" max="2" width="16.7109375" style="102" customWidth="1"/>
    <col min="3" max="3" width="9.140625" style="102"/>
    <col min="4" max="4" width="12.5703125" style="78" customWidth="1"/>
    <col min="5" max="5" width="15.140625" style="78" customWidth="1"/>
    <col min="6" max="6" width="9.140625" style="19"/>
    <col min="7" max="7" width="7.42578125" style="19" bestFit="1" customWidth="1"/>
    <col min="8" max="16384" width="9.140625" style="19"/>
  </cols>
  <sheetData>
    <row r="1" spans="1:7" ht="23.25" x14ac:dyDescent="0.25">
      <c r="A1" s="1340" t="s">
        <v>1180</v>
      </c>
      <c r="B1" s="1340"/>
      <c r="C1" s="1340"/>
      <c r="D1" s="1340"/>
      <c r="E1" s="1340"/>
    </row>
    <row r="2" spans="1:7" ht="12.75" customHeight="1" thickBot="1" x14ac:dyDescent="0.3">
      <c r="A2" s="1333"/>
      <c r="B2" s="1333"/>
      <c r="C2" s="1333"/>
      <c r="D2" s="1333"/>
      <c r="E2" s="1333"/>
    </row>
    <row r="3" spans="1:7" ht="27.95" customHeight="1" thickBot="1" x14ac:dyDescent="0.3">
      <c r="A3" s="1318" t="s">
        <v>670</v>
      </c>
      <c r="B3" s="1319"/>
      <c r="C3" s="1319"/>
      <c r="D3" s="1319"/>
      <c r="E3" s="1320"/>
    </row>
    <row r="4" spans="1:7" ht="15" customHeight="1" thickBot="1" x14ac:dyDescent="0.3">
      <c r="A4" s="1321" t="s">
        <v>441</v>
      </c>
      <c r="B4" s="1322"/>
      <c r="C4" s="1322"/>
      <c r="D4" s="1322"/>
      <c r="E4" s="1323"/>
      <c r="G4" s="589" t="s">
        <v>371</v>
      </c>
    </row>
    <row r="5" spans="1:7" s="85" customFormat="1" ht="39" thickBot="1" x14ac:dyDescent="0.3">
      <c r="A5" s="82" t="s">
        <v>671</v>
      </c>
      <c r="B5" s="83" t="s">
        <v>564</v>
      </c>
      <c r="C5" s="84" t="s">
        <v>672</v>
      </c>
      <c r="D5" s="56" t="s">
        <v>758</v>
      </c>
      <c r="E5" s="57" t="s">
        <v>759</v>
      </c>
    </row>
    <row r="6" spans="1:7" s="85" customFormat="1" x14ac:dyDescent="0.25">
      <c r="A6" s="86" t="s">
        <v>333</v>
      </c>
      <c r="B6" s="1334"/>
      <c r="C6" s="1335"/>
      <c r="D6" s="59" t="s">
        <v>429</v>
      </c>
      <c r="E6" s="60" t="s">
        <v>430</v>
      </c>
    </row>
    <row r="7" spans="1:7" x14ac:dyDescent="0.25">
      <c r="A7" s="72" t="s">
        <v>673</v>
      </c>
      <c r="B7" s="87" t="s">
        <v>674</v>
      </c>
      <c r="C7" s="88" t="s">
        <v>2</v>
      </c>
      <c r="D7" s="371">
        <f>SUM(D8:D13)</f>
        <v>5964.1016600000003</v>
      </c>
      <c r="E7" s="372">
        <f>SUM(E8:E13)</f>
        <v>6058.5527799999991</v>
      </c>
      <c r="G7" s="590">
        <f>D7+E7</f>
        <v>12022.654439999998</v>
      </c>
    </row>
    <row r="8" spans="1:7" x14ac:dyDescent="0.25">
      <c r="A8" s="61" t="s">
        <v>675</v>
      </c>
      <c r="B8" s="89" t="s">
        <v>676</v>
      </c>
      <c r="C8" s="90" t="s">
        <v>5</v>
      </c>
      <c r="D8" s="367">
        <v>5964.1016600000003</v>
      </c>
      <c r="E8" s="368">
        <v>3780.07287</v>
      </c>
      <c r="G8" s="590">
        <f t="shared" ref="G8:G68" si="0">D8+E8</f>
        <v>9744.1745300000002</v>
      </c>
    </row>
    <row r="9" spans="1:7" x14ac:dyDescent="0.25">
      <c r="A9" s="61" t="s">
        <v>677</v>
      </c>
      <c r="B9" s="89">
        <v>504</v>
      </c>
      <c r="C9" s="90" t="s">
        <v>8</v>
      </c>
      <c r="D9" s="367">
        <v>0</v>
      </c>
      <c r="E9" s="368">
        <v>1452.1626000000001</v>
      </c>
      <c r="G9" s="590">
        <f t="shared" si="0"/>
        <v>1452.1626000000001</v>
      </c>
    </row>
    <row r="10" spans="1:7" x14ac:dyDescent="0.25">
      <c r="A10" s="61" t="s">
        <v>678</v>
      </c>
      <c r="B10" s="89">
        <v>511</v>
      </c>
      <c r="C10" s="90" t="s">
        <v>11</v>
      </c>
      <c r="D10" s="367">
        <v>0</v>
      </c>
      <c r="E10" s="368">
        <v>89.288679999999999</v>
      </c>
      <c r="G10" s="590">
        <f t="shared" si="0"/>
        <v>89.288679999999999</v>
      </c>
    </row>
    <row r="11" spans="1:7" x14ac:dyDescent="0.25">
      <c r="A11" s="61" t="s">
        <v>679</v>
      </c>
      <c r="B11" s="89">
        <v>512</v>
      </c>
      <c r="C11" s="90" t="s">
        <v>14</v>
      </c>
      <c r="D11" s="367">
        <v>0</v>
      </c>
      <c r="E11" s="368">
        <v>0</v>
      </c>
      <c r="G11" s="590">
        <f t="shared" si="0"/>
        <v>0</v>
      </c>
    </row>
    <row r="12" spans="1:7" x14ac:dyDescent="0.25">
      <c r="A12" s="61" t="s">
        <v>680</v>
      </c>
      <c r="B12" s="89">
        <v>513</v>
      </c>
      <c r="C12" s="90" t="s">
        <v>17</v>
      </c>
      <c r="D12" s="367">
        <v>0</v>
      </c>
      <c r="E12" s="368">
        <v>5.9947600000000003</v>
      </c>
      <c r="G12" s="590">
        <f t="shared" si="0"/>
        <v>5.9947600000000003</v>
      </c>
    </row>
    <row r="13" spans="1:7" x14ac:dyDescent="0.25">
      <c r="A13" s="61" t="s">
        <v>681</v>
      </c>
      <c r="B13" s="89">
        <v>518</v>
      </c>
      <c r="C13" s="90" t="s">
        <v>20</v>
      </c>
      <c r="D13" s="367">
        <v>0</v>
      </c>
      <c r="E13" s="368">
        <v>731.03386999999998</v>
      </c>
      <c r="G13" s="590">
        <f t="shared" si="0"/>
        <v>731.03386999999998</v>
      </c>
    </row>
    <row r="14" spans="1:7" x14ac:dyDescent="0.25">
      <c r="A14" s="61" t="s">
        <v>682</v>
      </c>
      <c r="B14" s="87" t="s">
        <v>683</v>
      </c>
      <c r="C14" s="90" t="s">
        <v>23</v>
      </c>
      <c r="D14" s="371">
        <f>SUM(D15:D17)</f>
        <v>0</v>
      </c>
      <c r="E14" s="373">
        <f>SUM(E15:E17)</f>
        <v>0</v>
      </c>
      <c r="G14" s="590">
        <f t="shared" si="0"/>
        <v>0</v>
      </c>
    </row>
    <row r="15" spans="1:7" x14ac:dyDescent="0.25">
      <c r="A15" s="61" t="s">
        <v>684</v>
      </c>
      <c r="B15" s="89">
        <v>56</v>
      </c>
      <c r="C15" s="90" t="s">
        <v>26</v>
      </c>
      <c r="D15" s="367"/>
      <c r="E15" s="368"/>
      <c r="G15" s="590">
        <f t="shared" si="0"/>
        <v>0</v>
      </c>
    </row>
    <row r="16" spans="1:7" x14ac:dyDescent="0.25">
      <c r="A16" s="61" t="s">
        <v>685</v>
      </c>
      <c r="B16" s="89">
        <v>571.572</v>
      </c>
      <c r="C16" s="90" t="s">
        <v>29</v>
      </c>
      <c r="D16" s="367"/>
      <c r="E16" s="368"/>
      <c r="G16" s="590">
        <f t="shared" si="0"/>
        <v>0</v>
      </c>
    </row>
    <row r="17" spans="1:7" x14ac:dyDescent="0.25">
      <c r="A17" s="61" t="s">
        <v>686</v>
      </c>
      <c r="B17" s="89">
        <v>573.57399999999996</v>
      </c>
      <c r="C17" s="90" t="s">
        <v>32</v>
      </c>
      <c r="D17" s="367"/>
      <c r="E17" s="368"/>
      <c r="G17" s="590">
        <f t="shared" si="0"/>
        <v>0</v>
      </c>
    </row>
    <row r="18" spans="1:7" x14ac:dyDescent="0.25">
      <c r="A18" s="61" t="s">
        <v>687</v>
      </c>
      <c r="B18" s="89" t="s">
        <v>688</v>
      </c>
      <c r="C18" s="90" t="s">
        <v>34</v>
      </c>
      <c r="D18" s="365">
        <f>SUM(D19:D23)</f>
        <v>10416.592000000001</v>
      </c>
      <c r="E18" s="373">
        <f>SUM(E19:E23)</f>
        <v>0</v>
      </c>
      <c r="G18" s="590">
        <f t="shared" si="0"/>
        <v>10416.592000000001</v>
      </c>
    </row>
    <row r="19" spans="1:7" x14ac:dyDescent="0.25">
      <c r="A19" s="61" t="s">
        <v>689</v>
      </c>
      <c r="B19" s="89">
        <v>521</v>
      </c>
      <c r="C19" s="90" t="s">
        <v>37</v>
      </c>
      <c r="D19" s="367">
        <v>7812.0959999999995</v>
      </c>
      <c r="E19" s="368">
        <v>0</v>
      </c>
      <c r="G19" s="590">
        <f t="shared" si="0"/>
        <v>7812.0959999999995</v>
      </c>
    </row>
    <row r="20" spans="1:7" x14ac:dyDescent="0.25">
      <c r="A20" s="61" t="s">
        <v>690</v>
      </c>
      <c r="B20" s="89">
        <v>524</v>
      </c>
      <c r="C20" s="90" t="s">
        <v>39</v>
      </c>
      <c r="D20" s="367">
        <v>2604.4960000000001</v>
      </c>
      <c r="E20" s="368">
        <v>0</v>
      </c>
      <c r="G20" s="590">
        <f t="shared" si="0"/>
        <v>2604.4960000000001</v>
      </c>
    </row>
    <row r="21" spans="1:7" x14ac:dyDescent="0.25">
      <c r="A21" s="61" t="s">
        <v>691</v>
      </c>
      <c r="B21" s="89">
        <v>525</v>
      </c>
      <c r="C21" s="90" t="s">
        <v>42</v>
      </c>
      <c r="D21" s="367">
        <v>0</v>
      </c>
      <c r="E21" s="368">
        <v>0</v>
      </c>
      <c r="G21" s="590">
        <f t="shared" si="0"/>
        <v>0</v>
      </c>
    </row>
    <row r="22" spans="1:7" x14ac:dyDescent="0.25">
      <c r="A22" s="61" t="s">
        <v>692</v>
      </c>
      <c r="B22" s="89">
        <v>527</v>
      </c>
      <c r="C22" s="90" t="s">
        <v>44</v>
      </c>
      <c r="D22" s="367">
        <v>0</v>
      </c>
      <c r="E22" s="368">
        <v>0</v>
      </c>
      <c r="G22" s="590">
        <f t="shared" si="0"/>
        <v>0</v>
      </c>
    </row>
    <row r="23" spans="1:7" x14ac:dyDescent="0.25">
      <c r="A23" s="61" t="s">
        <v>693</v>
      </c>
      <c r="B23" s="89">
        <v>528</v>
      </c>
      <c r="C23" s="90" t="s">
        <v>47</v>
      </c>
      <c r="D23" s="367">
        <v>0</v>
      </c>
      <c r="E23" s="368">
        <v>0</v>
      </c>
      <c r="G23" s="590">
        <f t="shared" si="0"/>
        <v>0</v>
      </c>
    </row>
    <row r="24" spans="1:7" x14ac:dyDescent="0.25">
      <c r="A24" s="61" t="s">
        <v>694</v>
      </c>
      <c r="B24" s="89" t="s">
        <v>695</v>
      </c>
      <c r="C24" s="90" t="s">
        <v>50</v>
      </c>
      <c r="D24" s="365">
        <f>D25</f>
        <v>0</v>
      </c>
      <c r="E24" s="373">
        <f>E25</f>
        <v>0</v>
      </c>
      <c r="G24" s="590">
        <f t="shared" si="0"/>
        <v>0</v>
      </c>
    </row>
    <row r="25" spans="1:7" x14ac:dyDescent="0.25">
      <c r="A25" s="61" t="s">
        <v>696</v>
      </c>
      <c r="B25" s="89">
        <v>53</v>
      </c>
      <c r="C25" s="90" t="s">
        <v>53</v>
      </c>
      <c r="D25" s="367"/>
      <c r="E25" s="368"/>
      <c r="G25" s="590">
        <f t="shared" si="0"/>
        <v>0</v>
      </c>
    </row>
    <row r="26" spans="1:7" x14ac:dyDescent="0.25">
      <c r="A26" s="61" t="s">
        <v>697</v>
      </c>
      <c r="B26" s="89" t="s">
        <v>698</v>
      </c>
      <c r="C26" s="90" t="s">
        <v>56</v>
      </c>
      <c r="D26" s="365">
        <f>SUM(D27:D33)</f>
        <v>197.59800000000001</v>
      </c>
      <c r="E26" s="373">
        <f>SUM(E27:E33)</f>
        <v>51.062890000000003</v>
      </c>
      <c r="G26" s="590">
        <f t="shared" si="0"/>
        <v>248.66089000000002</v>
      </c>
    </row>
    <row r="27" spans="1:7" x14ac:dyDescent="0.25">
      <c r="A27" s="61" t="s">
        <v>699</v>
      </c>
      <c r="B27" s="89">
        <v>541.54200000000003</v>
      </c>
      <c r="C27" s="90" t="s">
        <v>58</v>
      </c>
      <c r="D27" s="367">
        <v>0</v>
      </c>
      <c r="E27" s="368">
        <v>0</v>
      </c>
      <c r="G27" s="590">
        <f t="shared" si="0"/>
        <v>0</v>
      </c>
    </row>
    <row r="28" spans="1:7" x14ac:dyDescent="0.25">
      <c r="A28" s="61" t="s">
        <v>700</v>
      </c>
      <c r="B28" s="89">
        <v>543</v>
      </c>
      <c r="C28" s="90" t="s">
        <v>60</v>
      </c>
      <c r="D28" s="367">
        <v>0</v>
      </c>
      <c r="E28" s="368">
        <v>0</v>
      </c>
      <c r="G28" s="590">
        <f t="shared" si="0"/>
        <v>0</v>
      </c>
    </row>
    <row r="29" spans="1:7" x14ac:dyDescent="0.25">
      <c r="A29" s="61" t="s">
        <v>701</v>
      </c>
      <c r="B29" s="89">
        <v>544</v>
      </c>
      <c r="C29" s="90" t="s">
        <v>62</v>
      </c>
      <c r="D29" s="367">
        <v>0</v>
      </c>
      <c r="E29" s="368">
        <v>0</v>
      </c>
      <c r="G29" s="590">
        <f t="shared" si="0"/>
        <v>0</v>
      </c>
    </row>
    <row r="30" spans="1:7" x14ac:dyDescent="0.25">
      <c r="A30" s="61" t="s">
        <v>702</v>
      </c>
      <c r="B30" s="89">
        <v>545</v>
      </c>
      <c r="C30" s="90" t="s">
        <v>65</v>
      </c>
      <c r="D30" s="367">
        <v>0</v>
      </c>
      <c r="E30" s="368">
        <v>0</v>
      </c>
      <c r="G30" s="590">
        <f t="shared" si="0"/>
        <v>0</v>
      </c>
    </row>
    <row r="31" spans="1:7" x14ac:dyDescent="0.25">
      <c r="A31" s="61" t="s">
        <v>703</v>
      </c>
      <c r="B31" s="89">
        <v>546</v>
      </c>
      <c r="C31" s="90" t="s">
        <v>67</v>
      </c>
      <c r="D31" s="367">
        <v>0</v>
      </c>
      <c r="E31" s="368">
        <v>0</v>
      </c>
      <c r="G31" s="590">
        <f t="shared" si="0"/>
        <v>0</v>
      </c>
    </row>
    <row r="32" spans="1:7" x14ac:dyDescent="0.25">
      <c r="A32" s="61" t="s">
        <v>704</v>
      </c>
      <c r="B32" s="89">
        <v>548</v>
      </c>
      <c r="C32" s="90" t="s">
        <v>69</v>
      </c>
      <c r="D32" s="367">
        <v>0</v>
      </c>
      <c r="E32" s="368">
        <v>51.696170000000002</v>
      </c>
      <c r="G32" s="590">
        <f t="shared" si="0"/>
        <v>51.696170000000002</v>
      </c>
    </row>
    <row r="33" spans="1:7" x14ac:dyDescent="0.25">
      <c r="A33" s="61" t="s">
        <v>705</v>
      </c>
      <c r="B33" s="89">
        <v>549</v>
      </c>
      <c r="C33" s="90" t="s">
        <v>72</v>
      </c>
      <c r="D33" s="367">
        <v>197.59800000000001</v>
      </c>
      <c r="E33" s="368">
        <v>-0.63327999999999995</v>
      </c>
      <c r="G33" s="590">
        <f t="shared" si="0"/>
        <v>196.96472</v>
      </c>
    </row>
    <row r="34" spans="1:7" ht="12.75" customHeight="1" x14ac:dyDescent="0.25">
      <c r="A34" s="61" t="s">
        <v>706</v>
      </c>
      <c r="B34" s="89" t="s">
        <v>707</v>
      </c>
      <c r="C34" s="90" t="s">
        <v>73</v>
      </c>
      <c r="D34" s="365">
        <f>SUM(D35:D39)</f>
        <v>0</v>
      </c>
      <c r="E34" s="373">
        <f>SUM(E35:E39)</f>
        <v>14.601000000000001</v>
      </c>
      <c r="G34" s="590">
        <f t="shared" si="0"/>
        <v>14.601000000000001</v>
      </c>
    </row>
    <row r="35" spans="1:7" x14ac:dyDescent="0.25">
      <c r="A35" s="61" t="s">
        <v>708</v>
      </c>
      <c r="B35" s="89">
        <v>551</v>
      </c>
      <c r="C35" s="90" t="s">
        <v>75</v>
      </c>
      <c r="D35" s="367">
        <v>0</v>
      </c>
      <c r="E35" s="368">
        <v>14.601000000000001</v>
      </c>
      <c r="G35" s="590">
        <f t="shared" si="0"/>
        <v>14.601000000000001</v>
      </c>
    </row>
    <row r="36" spans="1:7" ht="12.75" customHeight="1" x14ac:dyDescent="0.25">
      <c r="A36" s="61" t="s">
        <v>709</v>
      </c>
      <c r="B36" s="89">
        <v>552</v>
      </c>
      <c r="C36" s="90" t="s">
        <v>78</v>
      </c>
      <c r="D36" s="367">
        <v>0</v>
      </c>
      <c r="E36" s="368">
        <v>0</v>
      </c>
      <c r="G36" s="590">
        <f t="shared" si="0"/>
        <v>0</v>
      </c>
    </row>
    <row r="37" spans="1:7" x14ac:dyDescent="0.25">
      <c r="A37" s="61" t="s">
        <v>710</v>
      </c>
      <c r="B37" s="89">
        <v>553</v>
      </c>
      <c r="C37" s="90" t="s">
        <v>81</v>
      </c>
      <c r="D37" s="367">
        <v>0</v>
      </c>
      <c r="E37" s="368">
        <v>0</v>
      </c>
      <c r="G37" s="590">
        <f t="shared" si="0"/>
        <v>0</v>
      </c>
    </row>
    <row r="38" spans="1:7" x14ac:dyDescent="0.25">
      <c r="A38" s="61" t="s">
        <v>711</v>
      </c>
      <c r="B38" s="89">
        <v>554</v>
      </c>
      <c r="C38" s="90" t="s">
        <v>84</v>
      </c>
      <c r="D38" s="367">
        <v>0</v>
      </c>
      <c r="E38" s="368">
        <v>0</v>
      </c>
      <c r="G38" s="590">
        <f t="shared" si="0"/>
        <v>0</v>
      </c>
    </row>
    <row r="39" spans="1:7" x14ac:dyDescent="0.25">
      <c r="A39" s="61" t="s">
        <v>712</v>
      </c>
      <c r="B39" s="89" t="s">
        <v>713</v>
      </c>
      <c r="C39" s="90" t="s">
        <v>86</v>
      </c>
      <c r="D39" s="367">
        <v>0</v>
      </c>
      <c r="E39" s="368">
        <v>0</v>
      </c>
      <c r="G39" s="590">
        <f t="shared" si="0"/>
        <v>0</v>
      </c>
    </row>
    <row r="40" spans="1:7" x14ac:dyDescent="0.25">
      <c r="A40" s="61" t="s">
        <v>334</v>
      </c>
      <c r="B40" s="89" t="s">
        <v>714</v>
      </c>
      <c r="C40" s="90" t="s">
        <v>88</v>
      </c>
      <c r="D40" s="365">
        <f>D41</f>
        <v>0</v>
      </c>
      <c r="E40" s="373">
        <f>E41</f>
        <v>0</v>
      </c>
      <c r="G40" s="590">
        <f t="shared" si="0"/>
        <v>0</v>
      </c>
    </row>
    <row r="41" spans="1:7" x14ac:dyDescent="0.25">
      <c r="A41" s="61" t="s">
        <v>715</v>
      </c>
      <c r="B41" s="89">
        <v>581</v>
      </c>
      <c r="C41" s="90" t="s">
        <v>91</v>
      </c>
      <c r="D41" s="367"/>
      <c r="E41" s="368"/>
      <c r="G41" s="590">
        <f t="shared" si="0"/>
        <v>0</v>
      </c>
    </row>
    <row r="42" spans="1:7" x14ac:dyDescent="0.25">
      <c r="A42" s="61" t="s">
        <v>335</v>
      </c>
      <c r="B42" s="89" t="s">
        <v>716</v>
      </c>
      <c r="C42" s="90" t="s">
        <v>93</v>
      </c>
      <c r="D42" s="365">
        <f>D43</f>
        <v>0</v>
      </c>
      <c r="E42" s="373">
        <f>E43</f>
        <v>0</v>
      </c>
      <c r="G42" s="590">
        <f t="shared" si="0"/>
        <v>0</v>
      </c>
    </row>
    <row r="43" spans="1:7" ht="14.25" customHeight="1" x14ac:dyDescent="0.25">
      <c r="A43" s="61" t="s">
        <v>717</v>
      </c>
      <c r="B43" s="89">
        <v>59</v>
      </c>
      <c r="C43" s="90" t="s">
        <v>96</v>
      </c>
      <c r="D43" s="367"/>
      <c r="E43" s="368"/>
      <c r="G43" s="590">
        <f t="shared" si="0"/>
        <v>0</v>
      </c>
    </row>
    <row r="44" spans="1:7" ht="26.25" thickBot="1" x14ac:dyDescent="0.3">
      <c r="A44" s="100" t="s">
        <v>336</v>
      </c>
      <c r="B44" s="91" t="s">
        <v>760</v>
      </c>
      <c r="C44" s="90" t="s">
        <v>99</v>
      </c>
      <c r="D44" s="412">
        <f>SUM(D7,D14,D18,D24,D26,D34,D40,D42)</f>
        <v>16578.291660000003</v>
      </c>
      <c r="E44" s="413">
        <f>SUM(E7,E14,E18,E24,E26,E34,E40,E42)</f>
        <v>6124.2166699999989</v>
      </c>
      <c r="G44" s="590">
        <f t="shared" si="0"/>
        <v>22702.508330000001</v>
      </c>
    </row>
    <row r="45" spans="1:7" ht="12.75" customHeight="1" thickBot="1" x14ac:dyDescent="0.3">
      <c r="A45" s="1336" t="s">
        <v>337</v>
      </c>
      <c r="B45" s="1337"/>
      <c r="C45" s="1337"/>
      <c r="D45" s="1337"/>
      <c r="E45" s="1338"/>
      <c r="G45" s="590">
        <f t="shared" si="0"/>
        <v>0</v>
      </c>
    </row>
    <row r="46" spans="1:7" ht="12.75" customHeight="1" x14ac:dyDescent="0.25">
      <c r="A46" s="72" t="s">
        <v>718</v>
      </c>
      <c r="B46" s="92" t="s">
        <v>753</v>
      </c>
      <c r="C46" s="90" t="s">
        <v>103</v>
      </c>
      <c r="D46" s="365">
        <f>D47</f>
        <v>1843.33555</v>
      </c>
      <c r="E46" s="366">
        <f>E47</f>
        <v>0</v>
      </c>
      <c r="G46" s="590">
        <f t="shared" si="0"/>
        <v>1843.33555</v>
      </c>
    </row>
    <row r="47" spans="1:7" ht="12.75" customHeight="1" x14ac:dyDescent="0.25">
      <c r="A47" s="61" t="s">
        <v>719</v>
      </c>
      <c r="B47" s="93">
        <v>691</v>
      </c>
      <c r="C47" s="90" t="s">
        <v>105</v>
      </c>
      <c r="D47" s="367">
        <v>1843.33555</v>
      </c>
      <c r="E47" s="368"/>
      <c r="G47" s="590">
        <f t="shared" si="0"/>
        <v>1843.33555</v>
      </c>
    </row>
    <row r="48" spans="1:7" ht="12.75" customHeight="1" x14ac:dyDescent="0.25">
      <c r="A48" s="61" t="s">
        <v>720</v>
      </c>
      <c r="B48" s="92" t="s">
        <v>721</v>
      </c>
      <c r="C48" s="90" t="s">
        <v>107</v>
      </c>
      <c r="D48" s="365">
        <f>SUM(D49:D51)</f>
        <v>0</v>
      </c>
      <c r="E48" s="369">
        <f>SUM(E49:E51)</f>
        <v>0</v>
      </c>
      <c r="G48" s="590">
        <f t="shared" si="0"/>
        <v>0</v>
      </c>
    </row>
    <row r="49" spans="1:7" ht="12.75" customHeight="1" x14ac:dyDescent="0.25">
      <c r="A49" s="61" t="s">
        <v>722</v>
      </c>
      <c r="B49" s="93">
        <v>681</v>
      </c>
      <c r="C49" s="90" t="s">
        <v>110</v>
      </c>
      <c r="D49" s="367"/>
      <c r="E49" s="368"/>
      <c r="G49" s="590">
        <f t="shared" si="0"/>
        <v>0</v>
      </c>
    </row>
    <row r="50" spans="1:7" ht="12.75" customHeight="1" x14ac:dyDescent="0.25">
      <c r="A50" s="61" t="s">
        <v>723</v>
      </c>
      <c r="B50" s="93">
        <v>682</v>
      </c>
      <c r="C50" s="90" t="s">
        <v>113</v>
      </c>
      <c r="D50" s="367"/>
      <c r="E50" s="368"/>
      <c r="G50" s="590">
        <f t="shared" si="0"/>
        <v>0</v>
      </c>
    </row>
    <row r="51" spans="1:7" ht="12.75" customHeight="1" x14ac:dyDescent="0.25">
      <c r="A51" s="61" t="s">
        <v>724</v>
      </c>
      <c r="B51" s="93">
        <v>684</v>
      </c>
      <c r="C51" s="90" t="s">
        <v>116</v>
      </c>
      <c r="D51" s="367"/>
      <c r="E51" s="368"/>
      <c r="G51" s="590">
        <f t="shared" si="0"/>
        <v>0</v>
      </c>
    </row>
    <row r="52" spans="1:7" x14ac:dyDescent="0.25">
      <c r="A52" s="61" t="s">
        <v>725</v>
      </c>
      <c r="B52" s="94" t="s">
        <v>726</v>
      </c>
      <c r="C52" s="90" t="s">
        <v>119</v>
      </c>
      <c r="D52" s="1107">
        <v>14991.13552</v>
      </c>
      <c r="E52" s="1108">
        <v>5582.2965299999996</v>
      </c>
      <c r="G52" s="590">
        <f t="shared" si="0"/>
        <v>20573.432049999999</v>
      </c>
    </row>
    <row r="53" spans="1:7" x14ac:dyDescent="0.25">
      <c r="A53" s="61" t="s">
        <v>727</v>
      </c>
      <c r="B53" s="92" t="s">
        <v>728</v>
      </c>
      <c r="C53" s="90" t="s">
        <v>122</v>
      </c>
      <c r="D53" s="365">
        <f>SUM(D54:D59)</f>
        <v>0</v>
      </c>
      <c r="E53" s="369">
        <f>SUM(E54:E59)</f>
        <v>-84.12312</v>
      </c>
      <c r="G53" s="590">
        <f t="shared" si="0"/>
        <v>-84.12312</v>
      </c>
    </row>
    <row r="54" spans="1:7" x14ac:dyDescent="0.25">
      <c r="A54" s="61" t="s">
        <v>729</v>
      </c>
      <c r="B54" s="94">
        <v>641.64200000000005</v>
      </c>
      <c r="C54" s="90" t="s">
        <v>124</v>
      </c>
      <c r="D54" s="367">
        <v>0</v>
      </c>
      <c r="E54" s="368">
        <v>0</v>
      </c>
      <c r="G54" s="590">
        <f t="shared" si="0"/>
        <v>0</v>
      </c>
    </row>
    <row r="55" spans="1:7" x14ac:dyDescent="0.25">
      <c r="A55" s="61" t="s">
        <v>730</v>
      </c>
      <c r="B55" s="95">
        <v>643</v>
      </c>
      <c r="C55" s="90" t="s">
        <v>127</v>
      </c>
      <c r="D55" s="367">
        <v>0</v>
      </c>
      <c r="E55" s="368">
        <v>0</v>
      </c>
      <c r="G55" s="590">
        <f t="shared" si="0"/>
        <v>0</v>
      </c>
    </row>
    <row r="56" spans="1:7" x14ac:dyDescent="0.25">
      <c r="A56" s="61" t="s">
        <v>731</v>
      </c>
      <c r="B56" s="93">
        <v>644</v>
      </c>
      <c r="C56" s="90" t="s">
        <v>130</v>
      </c>
      <c r="D56" s="367">
        <v>0</v>
      </c>
      <c r="E56" s="368">
        <v>0</v>
      </c>
      <c r="G56" s="590">
        <f t="shared" si="0"/>
        <v>0</v>
      </c>
    </row>
    <row r="57" spans="1:7" x14ac:dyDescent="0.25">
      <c r="A57" s="61" t="s">
        <v>732</v>
      </c>
      <c r="B57" s="93">
        <v>645</v>
      </c>
      <c r="C57" s="90" t="s">
        <v>133</v>
      </c>
      <c r="D57" s="367">
        <v>0</v>
      </c>
      <c r="E57" s="368">
        <v>0</v>
      </c>
      <c r="G57" s="590">
        <f t="shared" si="0"/>
        <v>0</v>
      </c>
    </row>
    <row r="58" spans="1:7" x14ac:dyDescent="0.25">
      <c r="A58" s="61" t="s">
        <v>733</v>
      </c>
      <c r="B58" s="93">
        <v>648</v>
      </c>
      <c r="C58" s="90" t="s">
        <v>135</v>
      </c>
      <c r="D58" s="367">
        <v>0</v>
      </c>
      <c r="E58" s="368">
        <v>0</v>
      </c>
      <c r="G58" s="590">
        <f t="shared" si="0"/>
        <v>0</v>
      </c>
    </row>
    <row r="59" spans="1:7" x14ac:dyDescent="0.25">
      <c r="A59" s="61" t="s">
        <v>734</v>
      </c>
      <c r="B59" s="93">
        <v>649</v>
      </c>
      <c r="C59" s="90" t="s">
        <v>138</v>
      </c>
      <c r="D59" s="367">
        <v>0</v>
      </c>
      <c r="E59" s="368">
        <v>-84.12312</v>
      </c>
      <c r="G59" s="590">
        <f t="shared" si="0"/>
        <v>-84.12312</v>
      </c>
    </row>
    <row r="60" spans="1:7" x14ac:dyDescent="0.25">
      <c r="A60" s="61" t="s">
        <v>735</v>
      </c>
      <c r="B60" s="92" t="s">
        <v>736</v>
      </c>
      <c r="C60" s="90" t="s">
        <v>141</v>
      </c>
      <c r="D60" s="365">
        <f>SUM(D61:D65)</f>
        <v>0</v>
      </c>
      <c r="E60" s="369">
        <f>SUM(E61:E65)</f>
        <v>0</v>
      </c>
      <c r="G60" s="590">
        <f t="shared" si="0"/>
        <v>0</v>
      </c>
    </row>
    <row r="61" spans="1:7" x14ac:dyDescent="0.25">
      <c r="A61" s="61" t="s">
        <v>737</v>
      </c>
      <c r="B61" s="93">
        <v>652</v>
      </c>
      <c r="C61" s="90" t="s">
        <v>144</v>
      </c>
      <c r="D61" s="367"/>
      <c r="E61" s="368"/>
      <c r="G61" s="590">
        <f t="shared" si="0"/>
        <v>0</v>
      </c>
    </row>
    <row r="62" spans="1:7" x14ac:dyDescent="0.25">
      <c r="A62" s="61" t="s">
        <v>738</v>
      </c>
      <c r="B62" s="93">
        <v>653</v>
      </c>
      <c r="C62" s="90" t="s">
        <v>146</v>
      </c>
      <c r="D62" s="367"/>
      <c r="E62" s="368"/>
      <c r="G62" s="590">
        <f t="shared" si="0"/>
        <v>0</v>
      </c>
    </row>
    <row r="63" spans="1:7" x14ac:dyDescent="0.25">
      <c r="A63" s="61" t="s">
        <v>739</v>
      </c>
      <c r="B63" s="93">
        <v>654</v>
      </c>
      <c r="C63" s="90" t="s">
        <v>149</v>
      </c>
      <c r="D63" s="367"/>
      <c r="E63" s="368"/>
      <c r="G63" s="590">
        <f t="shared" si="0"/>
        <v>0</v>
      </c>
    </row>
    <row r="64" spans="1:7" x14ac:dyDescent="0.25">
      <c r="A64" s="61" t="s">
        <v>740</v>
      </c>
      <c r="B64" s="93">
        <v>655</v>
      </c>
      <c r="C64" s="90" t="s">
        <v>152</v>
      </c>
      <c r="D64" s="367"/>
      <c r="E64" s="368"/>
      <c r="G64" s="590">
        <f t="shared" si="0"/>
        <v>0</v>
      </c>
    </row>
    <row r="65" spans="1:7" x14ac:dyDescent="0.25">
      <c r="A65" s="61" t="s">
        <v>741</v>
      </c>
      <c r="B65" s="93">
        <v>657</v>
      </c>
      <c r="C65" s="90" t="s">
        <v>154</v>
      </c>
      <c r="D65" s="367"/>
      <c r="E65" s="368"/>
      <c r="G65" s="590">
        <f t="shared" si="0"/>
        <v>0</v>
      </c>
    </row>
    <row r="66" spans="1:7" ht="15" customHeight="1" thickBot="1" x14ac:dyDescent="0.3">
      <c r="A66" s="100" t="s">
        <v>338</v>
      </c>
      <c r="B66" s="91" t="s">
        <v>742</v>
      </c>
      <c r="C66" s="96" t="s">
        <v>157</v>
      </c>
      <c r="D66" s="412">
        <f>SUM(D46,D48,D52:D53,D60)</f>
        <v>16834.47107</v>
      </c>
      <c r="E66" s="413">
        <f>SUM(E46,E48,E52:E53,E60)</f>
        <v>5498.1734099999994</v>
      </c>
      <c r="G66" s="590">
        <f t="shared" si="0"/>
        <v>22332.644479999999</v>
      </c>
    </row>
    <row r="67" spans="1:7" x14ac:dyDescent="0.25">
      <c r="A67" s="58" t="s">
        <v>339</v>
      </c>
      <c r="B67" s="92" t="s">
        <v>755</v>
      </c>
      <c r="C67" s="88" t="s">
        <v>160</v>
      </c>
      <c r="D67" s="414">
        <f>D66-D44+D42</f>
        <v>256.17940999999701</v>
      </c>
      <c r="E67" s="415">
        <f>E66-E44+E42</f>
        <v>-626.04325999999946</v>
      </c>
      <c r="G67" s="590">
        <f t="shared" si="0"/>
        <v>-369.86385000000246</v>
      </c>
    </row>
    <row r="68" spans="1:7" x14ac:dyDescent="0.25">
      <c r="A68" s="97" t="s">
        <v>340</v>
      </c>
      <c r="B68" s="92" t="s">
        <v>754</v>
      </c>
      <c r="C68" s="90" t="s">
        <v>163</v>
      </c>
      <c r="D68" s="416">
        <f>D66-D44</f>
        <v>256.17940999999701</v>
      </c>
      <c r="E68" s="417">
        <f>E66-E44</f>
        <v>-626.04325999999946</v>
      </c>
      <c r="G68" s="590">
        <f t="shared" si="0"/>
        <v>-369.86385000000246</v>
      </c>
    </row>
    <row r="69" spans="1:7" x14ac:dyDescent="0.25">
      <c r="A69" s="58"/>
      <c r="B69" s="98"/>
      <c r="C69" s="90"/>
      <c r="D69" s="1326" t="s">
        <v>757</v>
      </c>
      <c r="E69" s="1327"/>
    </row>
    <row r="70" spans="1:7" x14ac:dyDescent="0.25">
      <c r="A70" s="58" t="s">
        <v>743</v>
      </c>
      <c r="B70" s="99" t="s">
        <v>744</v>
      </c>
      <c r="C70" s="90" t="s">
        <v>166</v>
      </c>
      <c r="D70" s="1328">
        <f>+D67+E67</f>
        <v>-369.86385000000246</v>
      </c>
      <c r="E70" s="1329"/>
      <c r="G70" s="590">
        <f>G67</f>
        <v>-369.86385000000246</v>
      </c>
    </row>
    <row r="71" spans="1:7" ht="13.5" thickBot="1" x14ac:dyDescent="0.3">
      <c r="A71" s="100" t="s">
        <v>745</v>
      </c>
      <c r="B71" s="74" t="s">
        <v>746</v>
      </c>
      <c r="C71" s="96" t="s">
        <v>168</v>
      </c>
      <c r="D71" s="1330">
        <f>+D68+E68</f>
        <v>-369.86385000000246</v>
      </c>
      <c r="E71" s="1331"/>
      <c r="G71" s="590">
        <f>G68</f>
        <v>-369.86385000000246</v>
      </c>
    </row>
    <row r="72" spans="1:7" ht="12.75" customHeight="1" x14ac:dyDescent="0.25">
      <c r="A72" s="101"/>
      <c r="B72" s="80"/>
      <c r="C72" s="80"/>
    </row>
    <row r="73" spans="1:7" ht="12.75" customHeight="1" x14ac:dyDescent="0.25">
      <c r="A73" s="76" t="s">
        <v>467</v>
      </c>
      <c r="B73" s="80"/>
      <c r="C73" s="80"/>
    </row>
    <row r="74" spans="1:7" ht="12.75" customHeight="1" x14ac:dyDescent="0.25">
      <c r="A74" s="19" t="s">
        <v>747</v>
      </c>
      <c r="B74" s="80"/>
      <c r="C74" s="80"/>
    </row>
    <row r="75" spans="1:7" x14ac:dyDescent="0.25">
      <c r="A75" s="19" t="s">
        <v>748</v>
      </c>
      <c r="B75" s="81"/>
      <c r="C75" s="81"/>
    </row>
    <row r="76" spans="1:7" x14ac:dyDescent="0.25">
      <c r="A76" s="19" t="s">
        <v>668</v>
      </c>
      <c r="B76" s="81"/>
      <c r="C76" s="81"/>
    </row>
    <row r="77" spans="1:7" x14ac:dyDescent="0.25">
      <c r="A77" s="19" t="s">
        <v>669</v>
      </c>
    </row>
  </sheetData>
  <mergeCells count="9">
    <mergeCell ref="D69:E69"/>
    <mergeCell ref="D70:E70"/>
    <mergeCell ref="D71:E71"/>
    <mergeCell ref="A1:E1"/>
    <mergeCell ref="A2:E2"/>
    <mergeCell ref="A3:E3"/>
    <mergeCell ref="A4:E4"/>
    <mergeCell ref="B6:C6"/>
    <mergeCell ref="A45:E45"/>
  </mergeCells>
  <printOptions horizontalCentered="1" verticalCentered="1"/>
  <pageMargins left="0.70866141732283472" right="0" top="0.19685039370078741" bottom="0.19685039370078741" header="0.51181102362204722" footer="0.51181102362204722"/>
  <pageSetup paperSize="9" scale="22" orientation="portrait" r:id="rId1"/>
  <headerFooter alignWithMargins="0"/>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G77"/>
  <sheetViews>
    <sheetView zoomScaleNormal="100" workbookViewId="0">
      <pane ySplit="5" topLeftCell="A59" activePane="bottomLeft" state="frozenSplit"/>
      <selection activeCell="E63" sqref="E63"/>
      <selection pane="bottomLeft" activeCell="E63" sqref="E63"/>
    </sheetView>
  </sheetViews>
  <sheetFormatPr defaultColWidth="9.140625" defaultRowHeight="12.75" x14ac:dyDescent="0.25"/>
  <cols>
    <col min="1" max="1" width="60.42578125" style="76" customWidth="1"/>
    <col min="2" max="2" width="16.7109375" style="102" customWidth="1"/>
    <col min="3" max="3" width="9.140625" style="102"/>
    <col min="4" max="4" width="12.5703125" style="78" customWidth="1"/>
    <col min="5" max="5" width="15.140625" style="78" customWidth="1"/>
    <col min="6" max="6" width="9.140625" style="19"/>
    <col min="7" max="7" width="7.42578125" style="19" bestFit="1" customWidth="1"/>
    <col min="8" max="16384" width="9.140625" style="19"/>
  </cols>
  <sheetData>
    <row r="1" spans="1:7" ht="23.25" x14ac:dyDescent="0.25">
      <c r="A1" s="1340" t="s">
        <v>1043</v>
      </c>
      <c r="B1" s="1340"/>
      <c r="C1" s="1340"/>
      <c r="D1" s="1340"/>
      <c r="E1" s="1340"/>
    </row>
    <row r="2" spans="1:7" ht="12.75" customHeight="1" thickBot="1" x14ac:dyDescent="0.3">
      <c r="A2" s="1333"/>
      <c r="B2" s="1333"/>
      <c r="C2" s="1333"/>
      <c r="D2" s="1333"/>
      <c r="E2" s="1333"/>
    </row>
    <row r="3" spans="1:7" ht="27.95" customHeight="1" thickBot="1" x14ac:dyDescent="0.3">
      <c r="A3" s="1318" t="s">
        <v>670</v>
      </c>
      <c r="B3" s="1319"/>
      <c r="C3" s="1319"/>
      <c r="D3" s="1319"/>
      <c r="E3" s="1320"/>
    </row>
    <row r="4" spans="1:7" ht="15" customHeight="1" thickBot="1" x14ac:dyDescent="0.3">
      <c r="A4" s="1321" t="s">
        <v>441</v>
      </c>
      <c r="B4" s="1322"/>
      <c r="C4" s="1322"/>
      <c r="D4" s="1322"/>
      <c r="E4" s="1323"/>
      <c r="G4" s="589" t="s">
        <v>371</v>
      </c>
    </row>
    <row r="5" spans="1:7" s="85" customFormat="1" ht="39" thickBot="1" x14ac:dyDescent="0.3">
      <c r="A5" s="82" t="s">
        <v>671</v>
      </c>
      <c r="B5" s="83" t="s">
        <v>564</v>
      </c>
      <c r="C5" s="84" t="s">
        <v>672</v>
      </c>
      <c r="D5" s="56" t="s">
        <v>758</v>
      </c>
      <c r="E5" s="57" t="s">
        <v>759</v>
      </c>
    </row>
    <row r="6" spans="1:7" s="85" customFormat="1" x14ac:dyDescent="0.25">
      <c r="A6" s="86" t="s">
        <v>333</v>
      </c>
      <c r="B6" s="1334"/>
      <c r="C6" s="1335"/>
      <c r="D6" s="59" t="s">
        <v>429</v>
      </c>
      <c r="E6" s="60" t="s">
        <v>430</v>
      </c>
    </row>
    <row r="7" spans="1:7" x14ac:dyDescent="0.25">
      <c r="A7" s="72" t="s">
        <v>673</v>
      </c>
      <c r="B7" s="87" t="s">
        <v>674</v>
      </c>
      <c r="C7" s="88" t="s">
        <v>2</v>
      </c>
      <c r="D7" s="371">
        <f>SUM(D8:D13)</f>
        <v>278.72770000000003</v>
      </c>
      <c r="E7" s="372">
        <f>SUM(E8:E13)</f>
        <v>468.88846999999998</v>
      </c>
      <c r="G7" s="590">
        <f>D7+E7</f>
        <v>747.61617000000001</v>
      </c>
    </row>
    <row r="8" spans="1:7" x14ac:dyDescent="0.25">
      <c r="A8" s="61" t="s">
        <v>675</v>
      </c>
      <c r="B8" s="89" t="s">
        <v>676</v>
      </c>
      <c r="C8" s="90" t="s">
        <v>5</v>
      </c>
      <c r="D8" s="367">
        <v>156.34003000000001</v>
      </c>
      <c r="E8" s="368">
        <v>24.11131</v>
      </c>
      <c r="G8" s="590">
        <f t="shared" ref="G8:G68" si="0">D8+E8</f>
        <v>180.45134000000002</v>
      </c>
    </row>
    <row r="9" spans="1:7" x14ac:dyDescent="0.25">
      <c r="A9" s="61" t="s">
        <v>677</v>
      </c>
      <c r="B9" s="89">
        <v>504</v>
      </c>
      <c r="C9" s="90" t="s">
        <v>8</v>
      </c>
      <c r="D9" s="367"/>
      <c r="E9" s="368"/>
      <c r="G9" s="590">
        <f t="shared" si="0"/>
        <v>0</v>
      </c>
    </row>
    <row r="10" spans="1:7" x14ac:dyDescent="0.25">
      <c r="A10" s="61" t="s">
        <v>678</v>
      </c>
      <c r="B10" s="89">
        <v>511</v>
      </c>
      <c r="C10" s="90" t="s">
        <v>11</v>
      </c>
      <c r="D10" s="367"/>
      <c r="E10" s="368"/>
      <c r="G10" s="590">
        <f t="shared" si="0"/>
        <v>0</v>
      </c>
    </row>
    <row r="11" spans="1:7" x14ac:dyDescent="0.25">
      <c r="A11" s="61" t="s">
        <v>679</v>
      </c>
      <c r="B11" s="89">
        <v>512</v>
      </c>
      <c r="C11" s="90" t="s">
        <v>14</v>
      </c>
      <c r="D11" s="367"/>
      <c r="E11" s="368"/>
      <c r="G11" s="590">
        <f t="shared" si="0"/>
        <v>0</v>
      </c>
    </row>
    <row r="12" spans="1:7" x14ac:dyDescent="0.25">
      <c r="A12" s="61" t="s">
        <v>680</v>
      </c>
      <c r="B12" s="89">
        <v>513</v>
      </c>
      <c r="C12" s="90" t="s">
        <v>17</v>
      </c>
      <c r="D12" s="367"/>
      <c r="E12" s="368"/>
      <c r="G12" s="590">
        <f t="shared" si="0"/>
        <v>0</v>
      </c>
    </row>
    <row r="13" spans="1:7" x14ac:dyDescent="0.25">
      <c r="A13" s="61" t="s">
        <v>681</v>
      </c>
      <c r="B13" s="89">
        <v>518</v>
      </c>
      <c r="C13" s="90" t="s">
        <v>20</v>
      </c>
      <c r="D13" s="367">
        <v>122.38767</v>
      </c>
      <c r="E13" s="368">
        <v>444.77715999999998</v>
      </c>
      <c r="G13" s="590">
        <f t="shared" si="0"/>
        <v>567.16482999999994</v>
      </c>
    </row>
    <row r="14" spans="1:7" x14ac:dyDescent="0.25">
      <c r="A14" s="61" t="s">
        <v>682</v>
      </c>
      <c r="B14" s="87" t="s">
        <v>683</v>
      </c>
      <c r="C14" s="90" t="s">
        <v>23</v>
      </c>
      <c r="D14" s="371">
        <f>SUM(D15:D17)</f>
        <v>0</v>
      </c>
      <c r="E14" s="373">
        <f>SUM(E15:E17)</f>
        <v>0</v>
      </c>
      <c r="G14" s="590">
        <f t="shared" si="0"/>
        <v>0</v>
      </c>
    </row>
    <row r="15" spans="1:7" x14ac:dyDescent="0.25">
      <c r="A15" s="61" t="s">
        <v>684</v>
      </c>
      <c r="B15" s="89">
        <v>56</v>
      </c>
      <c r="C15" s="90" t="s">
        <v>26</v>
      </c>
      <c r="D15" s="367"/>
      <c r="E15" s="368"/>
      <c r="G15" s="590">
        <f t="shared" si="0"/>
        <v>0</v>
      </c>
    </row>
    <row r="16" spans="1:7" x14ac:dyDescent="0.25">
      <c r="A16" s="61" t="s">
        <v>685</v>
      </c>
      <c r="B16" s="89">
        <v>571.572</v>
      </c>
      <c r="C16" s="90" t="s">
        <v>29</v>
      </c>
      <c r="D16" s="367"/>
      <c r="E16" s="368"/>
      <c r="G16" s="590">
        <f t="shared" si="0"/>
        <v>0</v>
      </c>
    </row>
    <row r="17" spans="1:7" x14ac:dyDescent="0.25">
      <c r="A17" s="61" t="s">
        <v>686</v>
      </c>
      <c r="B17" s="89">
        <v>573.57399999999996</v>
      </c>
      <c r="C17" s="90" t="s">
        <v>32</v>
      </c>
      <c r="D17" s="367"/>
      <c r="E17" s="368"/>
      <c r="G17" s="590">
        <f t="shared" si="0"/>
        <v>0</v>
      </c>
    </row>
    <row r="18" spans="1:7" x14ac:dyDescent="0.25">
      <c r="A18" s="61" t="s">
        <v>687</v>
      </c>
      <c r="B18" s="89" t="s">
        <v>688</v>
      </c>
      <c r="C18" s="90" t="s">
        <v>34</v>
      </c>
      <c r="D18" s="365">
        <f>SUM(D19:D23)</f>
        <v>532.46400000000006</v>
      </c>
      <c r="E18" s="373">
        <f>SUM(E19:E23)</f>
        <v>193.80600000000001</v>
      </c>
      <c r="G18" s="590">
        <f t="shared" si="0"/>
        <v>726.2700000000001</v>
      </c>
    </row>
    <row r="19" spans="1:7" x14ac:dyDescent="0.25">
      <c r="A19" s="61" t="s">
        <v>689</v>
      </c>
      <c r="B19" s="89">
        <v>521</v>
      </c>
      <c r="C19" s="90" t="s">
        <v>37</v>
      </c>
      <c r="D19" s="367">
        <v>392.46199999999999</v>
      </c>
      <c r="E19" s="368">
        <v>139.036</v>
      </c>
      <c r="G19" s="590">
        <f t="shared" si="0"/>
        <v>531.49800000000005</v>
      </c>
    </row>
    <row r="20" spans="1:7" x14ac:dyDescent="0.25">
      <c r="A20" s="61" t="s">
        <v>690</v>
      </c>
      <c r="B20" s="89">
        <v>524</v>
      </c>
      <c r="C20" s="90" t="s">
        <v>39</v>
      </c>
      <c r="D20" s="367">
        <v>132.65299999999999</v>
      </c>
      <c r="E20" s="368">
        <v>46.994</v>
      </c>
      <c r="G20" s="590">
        <f t="shared" si="0"/>
        <v>179.64699999999999</v>
      </c>
    </row>
    <row r="21" spans="1:7" x14ac:dyDescent="0.25">
      <c r="A21" s="61" t="s">
        <v>691</v>
      </c>
      <c r="B21" s="89">
        <v>525</v>
      </c>
      <c r="C21" s="90" t="s">
        <v>42</v>
      </c>
      <c r="D21" s="367"/>
      <c r="E21" s="368"/>
      <c r="G21" s="590">
        <f t="shared" si="0"/>
        <v>0</v>
      </c>
    </row>
    <row r="22" spans="1:7" x14ac:dyDescent="0.25">
      <c r="A22" s="61" t="s">
        <v>692</v>
      </c>
      <c r="B22" s="89">
        <v>527</v>
      </c>
      <c r="C22" s="90" t="s">
        <v>44</v>
      </c>
      <c r="D22" s="367">
        <v>7.3490000000000002</v>
      </c>
      <c r="E22" s="368">
        <v>7.7759999999999998</v>
      </c>
      <c r="G22" s="590">
        <f t="shared" si="0"/>
        <v>15.125</v>
      </c>
    </row>
    <row r="23" spans="1:7" x14ac:dyDescent="0.25">
      <c r="A23" s="61" t="s">
        <v>693</v>
      </c>
      <c r="B23" s="89">
        <v>528</v>
      </c>
      <c r="C23" s="90" t="s">
        <v>47</v>
      </c>
      <c r="D23" s="367"/>
      <c r="E23" s="368"/>
      <c r="G23" s="590">
        <f t="shared" si="0"/>
        <v>0</v>
      </c>
    </row>
    <row r="24" spans="1:7" x14ac:dyDescent="0.25">
      <c r="A24" s="61" t="s">
        <v>694</v>
      </c>
      <c r="B24" s="89" t="s">
        <v>695</v>
      </c>
      <c r="C24" s="90" t="s">
        <v>50</v>
      </c>
      <c r="D24" s="365">
        <f>D25</f>
        <v>0</v>
      </c>
      <c r="E24" s="373">
        <f>E25</f>
        <v>0</v>
      </c>
      <c r="G24" s="590">
        <f t="shared" si="0"/>
        <v>0</v>
      </c>
    </row>
    <row r="25" spans="1:7" x14ac:dyDescent="0.25">
      <c r="A25" s="61" t="s">
        <v>696</v>
      </c>
      <c r="B25" s="89">
        <v>53</v>
      </c>
      <c r="C25" s="90" t="s">
        <v>53</v>
      </c>
      <c r="D25" s="367"/>
      <c r="E25" s="368"/>
      <c r="G25" s="590">
        <f t="shared" si="0"/>
        <v>0</v>
      </c>
    </row>
    <row r="26" spans="1:7" x14ac:dyDescent="0.25">
      <c r="A26" s="61" t="s">
        <v>697</v>
      </c>
      <c r="B26" s="89" t="s">
        <v>698</v>
      </c>
      <c r="C26" s="90" t="s">
        <v>56</v>
      </c>
      <c r="D26" s="365">
        <f>SUM(D27:D33)</f>
        <v>164.42267999999999</v>
      </c>
      <c r="E26" s="373">
        <f>SUM(E27:E33)</f>
        <v>647.85639000000003</v>
      </c>
      <c r="G26" s="590">
        <f t="shared" si="0"/>
        <v>812.27907000000005</v>
      </c>
    </row>
    <row r="27" spans="1:7" x14ac:dyDescent="0.25">
      <c r="A27" s="61" t="s">
        <v>699</v>
      </c>
      <c r="B27" s="89">
        <v>541.54200000000003</v>
      </c>
      <c r="C27" s="90" t="s">
        <v>58</v>
      </c>
      <c r="D27" s="367"/>
      <c r="E27" s="368"/>
      <c r="G27" s="590">
        <f t="shared" si="0"/>
        <v>0</v>
      </c>
    </row>
    <row r="28" spans="1:7" x14ac:dyDescent="0.25">
      <c r="A28" s="61" t="s">
        <v>700</v>
      </c>
      <c r="B28" s="89">
        <v>543</v>
      </c>
      <c r="C28" s="90" t="s">
        <v>60</v>
      </c>
      <c r="D28" s="367"/>
      <c r="E28" s="368"/>
      <c r="G28" s="590">
        <f t="shared" si="0"/>
        <v>0</v>
      </c>
    </row>
    <row r="29" spans="1:7" x14ac:dyDescent="0.25">
      <c r="A29" s="61" t="s">
        <v>701</v>
      </c>
      <c r="B29" s="89">
        <v>544</v>
      </c>
      <c r="C29" s="90" t="s">
        <v>62</v>
      </c>
      <c r="D29" s="367"/>
      <c r="E29" s="368"/>
      <c r="G29" s="590">
        <f t="shared" si="0"/>
        <v>0</v>
      </c>
    </row>
    <row r="30" spans="1:7" x14ac:dyDescent="0.25">
      <c r="A30" s="61" t="s">
        <v>702</v>
      </c>
      <c r="B30" s="89">
        <v>545</v>
      </c>
      <c r="C30" s="90" t="s">
        <v>65</v>
      </c>
      <c r="D30" s="367">
        <v>0.16081000000000001</v>
      </c>
      <c r="E30" s="368"/>
      <c r="G30" s="590">
        <f t="shared" si="0"/>
        <v>0.16081000000000001</v>
      </c>
    </row>
    <row r="31" spans="1:7" x14ac:dyDescent="0.25">
      <c r="A31" s="61" t="s">
        <v>703</v>
      </c>
      <c r="B31" s="89">
        <v>546</v>
      </c>
      <c r="C31" s="90" t="s">
        <v>67</v>
      </c>
      <c r="D31" s="367"/>
      <c r="E31" s="368"/>
      <c r="G31" s="590">
        <f t="shared" si="0"/>
        <v>0</v>
      </c>
    </row>
    <row r="32" spans="1:7" x14ac:dyDescent="0.25">
      <c r="A32" s="61" t="s">
        <v>704</v>
      </c>
      <c r="B32" s="89">
        <v>548</v>
      </c>
      <c r="C32" s="90" t="s">
        <v>69</v>
      </c>
      <c r="D32" s="367"/>
      <c r="E32" s="368"/>
      <c r="G32" s="590">
        <f t="shared" si="0"/>
        <v>0</v>
      </c>
    </row>
    <row r="33" spans="1:7" x14ac:dyDescent="0.25">
      <c r="A33" s="61" t="s">
        <v>705</v>
      </c>
      <c r="B33" s="89">
        <v>549</v>
      </c>
      <c r="C33" s="90" t="s">
        <v>72</v>
      </c>
      <c r="D33" s="367">
        <v>164.26186999999999</v>
      </c>
      <c r="E33" s="368">
        <v>647.85639000000003</v>
      </c>
      <c r="G33" s="590">
        <f t="shared" si="0"/>
        <v>812.11825999999996</v>
      </c>
    </row>
    <row r="34" spans="1:7" ht="12.75" customHeight="1" x14ac:dyDescent="0.25">
      <c r="A34" s="61" t="s">
        <v>706</v>
      </c>
      <c r="B34" s="89" t="s">
        <v>707</v>
      </c>
      <c r="C34" s="90" t="s">
        <v>73</v>
      </c>
      <c r="D34" s="365">
        <f>SUM(D35:D39)</f>
        <v>0</v>
      </c>
      <c r="E34" s="373">
        <f>SUM(E35:E39)</f>
        <v>0</v>
      </c>
      <c r="G34" s="590">
        <f t="shared" si="0"/>
        <v>0</v>
      </c>
    </row>
    <row r="35" spans="1:7" x14ac:dyDescent="0.25">
      <c r="A35" s="61" t="s">
        <v>708</v>
      </c>
      <c r="B35" s="89">
        <v>551</v>
      </c>
      <c r="C35" s="90" t="s">
        <v>75</v>
      </c>
      <c r="D35" s="367"/>
      <c r="E35" s="368"/>
      <c r="G35" s="590">
        <f t="shared" si="0"/>
        <v>0</v>
      </c>
    </row>
    <row r="36" spans="1:7" ht="12.75" customHeight="1" x14ac:dyDescent="0.25">
      <c r="A36" s="61" t="s">
        <v>709</v>
      </c>
      <c r="B36" s="89">
        <v>552</v>
      </c>
      <c r="C36" s="90" t="s">
        <v>78</v>
      </c>
      <c r="D36" s="367"/>
      <c r="E36" s="368"/>
      <c r="G36" s="590">
        <f t="shared" si="0"/>
        <v>0</v>
      </c>
    </row>
    <row r="37" spans="1:7" x14ac:dyDescent="0.25">
      <c r="A37" s="61" t="s">
        <v>710</v>
      </c>
      <c r="B37" s="89">
        <v>553</v>
      </c>
      <c r="C37" s="90" t="s">
        <v>81</v>
      </c>
      <c r="D37" s="367"/>
      <c r="E37" s="368"/>
      <c r="G37" s="590">
        <f t="shared" si="0"/>
        <v>0</v>
      </c>
    </row>
    <row r="38" spans="1:7" x14ac:dyDescent="0.25">
      <c r="A38" s="61" t="s">
        <v>711</v>
      </c>
      <c r="B38" s="89">
        <v>554</v>
      </c>
      <c r="C38" s="90" t="s">
        <v>84</v>
      </c>
      <c r="D38" s="367"/>
      <c r="E38" s="368"/>
      <c r="G38" s="590">
        <f t="shared" si="0"/>
        <v>0</v>
      </c>
    </row>
    <row r="39" spans="1:7" x14ac:dyDescent="0.25">
      <c r="A39" s="61" t="s">
        <v>712</v>
      </c>
      <c r="B39" s="89" t="s">
        <v>713</v>
      </c>
      <c r="C39" s="90" t="s">
        <v>86</v>
      </c>
      <c r="D39" s="367"/>
      <c r="E39" s="368"/>
      <c r="G39" s="590">
        <f t="shared" si="0"/>
        <v>0</v>
      </c>
    </row>
    <row r="40" spans="1:7" x14ac:dyDescent="0.25">
      <c r="A40" s="61" t="s">
        <v>334</v>
      </c>
      <c r="B40" s="89" t="s">
        <v>714</v>
      </c>
      <c r="C40" s="90" t="s">
        <v>88</v>
      </c>
      <c r="D40" s="365">
        <f>D41</f>
        <v>0</v>
      </c>
      <c r="E40" s="373">
        <f>E41</f>
        <v>0</v>
      </c>
      <c r="G40" s="590">
        <f t="shared" si="0"/>
        <v>0</v>
      </c>
    </row>
    <row r="41" spans="1:7" x14ac:dyDescent="0.25">
      <c r="A41" s="61" t="s">
        <v>715</v>
      </c>
      <c r="B41" s="89">
        <v>581</v>
      </c>
      <c r="C41" s="90" t="s">
        <v>91</v>
      </c>
      <c r="D41" s="367"/>
      <c r="E41" s="368"/>
      <c r="G41" s="590">
        <f t="shared" si="0"/>
        <v>0</v>
      </c>
    </row>
    <row r="42" spans="1:7" x14ac:dyDescent="0.25">
      <c r="A42" s="61" t="s">
        <v>335</v>
      </c>
      <c r="B42" s="89" t="s">
        <v>716</v>
      </c>
      <c r="C42" s="90" t="s">
        <v>93</v>
      </c>
      <c r="D42" s="365">
        <f>D43</f>
        <v>0</v>
      </c>
      <c r="E42" s="373">
        <f>E43</f>
        <v>0</v>
      </c>
      <c r="G42" s="590">
        <f t="shared" si="0"/>
        <v>0</v>
      </c>
    </row>
    <row r="43" spans="1:7" ht="14.25" customHeight="1" x14ac:dyDescent="0.25">
      <c r="A43" s="61" t="s">
        <v>717</v>
      </c>
      <c r="B43" s="89">
        <v>59</v>
      </c>
      <c r="C43" s="90" t="s">
        <v>96</v>
      </c>
      <c r="D43" s="367"/>
      <c r="E43" s="368"/>
      <c r="G43" s="590">
        <f t="shared" si="0"/>
        <v>0</v>
      </c>
    </row>
    <row r="44" spans="1:7" ht="26.25" thickBot="1" x14ac:dyDescent="0.3">
      <c r="A44" s="100" t="s">
        <v>336</v>
      </c>
      <c r="B44" s="91" t="s">
        <v>760</v>
      </c>
      <c r="C44" s="90" t="s">
        <v>99</v>
      </c>
      <c r="D44" s="412">
        <f>SUM(D7,D14,D18,D24,D26,D34,D40,D42)</f>
        <v>975.6143800000001</v>
      </c>
      <c r="E44" s="413">
        <f>SUM(E7,E14,E18,E24,E26,E34,E40,E42)</f>
        <v>1310.5508600000001</v>
      </c>
      <c r="G44" s="590">
        <f t="shared" si="0"/>
        <v>2286.1652400000003</v>
      </c>
    </row>
    <row r="45" spans="1:7" ht="12.75" customHeight="1" thickBot="1" x14ac:dyDescent="0.3">
      <c r="A45" s="1336" t="s">
        <v>337</v>
      </c>
      <c r="B45" s="1337"/>
      <c r="C45" s="1337"/>
      <c r="D45" s="1337"/>
      <c r="E45" s="1338"/>
      <c r="G45" s="590">
        <f t="shared" si="0"/>
        <v>0</v>
      </c>
    </row>
    <row r="46" spans="1:7" ht="12.75" customHeight="1" x14ac:dyDescent="0.25">
      <c r="A46" s="72" t="s">
        <v>718</v>
      </c>
      <c r="B46" s="92" t="s">
        <v>753</v>
      </c>
      <c r="C46" s="90" t="s">
        <v>103</v>
      </c>
      <c r="D46" s="365">
        <f>D47</f>
        <v>0</v>
      </c>
      <c r="E46" s="366">
        <f>E47</f>
        <v>0</v>
      </c>
      <c r="G46" s="590">
        <f t="shared" si="0"/>
        <v>0</v>
      </c>
    </row>
    <row r="47" spans="1:7" ht="12.75" customHeight="1" x14ac:dyDescent="0.25">
      <c r="A47" s="61" t="s">
        <v>719</v>
      </c>
      <c r="B47" s="93">
        <v>691</v>
      </c>
      <c r="C47" s="90" t="s">
        <v>105</v>
      </c>
      <c r="D47" s="367"/>
      <c r="E47" s="368"/>
      <c r="G47" s="590">
        <f t="shared" si="0"/>
        <v>0</v>
      </c>
    </row>
    <row r="48" spans="1:7" ht="12.75" customHeight="1" x14ac:dyDescent="0.25">
      <c r="A48" s="61" t="s">
        <v>720</v>
      </c>
      <c r="B48" s="92" t="s">
        <v>721</v>
      </c>
      <c r="C48" s="90" t="s">
        <v>107</v>
      </c>
      <c r="D48" s="365">
        <f>SUM(D49:D51)</f>
        <v>0</v>
      </c>
      <c r="E48" s="369">
        <f>SUM(E49:E51)</f>
        <v>0</v>
      </c>
      <c r="G48" s="590">
        <f t="shared" si="0"/>
        <v>0</v>
      </c>
    </row>
    <row r="49" spans="1:7" ht="12.75" customHeight="1" x14ac:dyDescent="0.25">
      <c r="A49" s="61" t="s">
        <v>722</v>
      </c>
      <c r="B49" s="93">
        <v>681</v>
      </c>
      <c r="C49" s="90" t="s">
        <v>110</v>
      </c>
      <c r="D49" s="367"/>
      <c r="E49" s="368"/>
      <c r="G49" s="590">
        <f t="shared" si="0"/>
        <v>0</v>
      </c>
    </row>
    <row r="50" spans="1:7" ht="12.75" customHeight="1" x14ac:dyDescent="0.25">
      <c r="A50" s="61" t="s">
        <v>723</v>
      </c>
      <c r="B50" s="93">
        <v>682</v>
      </c>
      <c r="C50" s="90" t="s">
        <v>113</v>
      </c>
      <c r="D50" s="367"/>
      <c r="E50" s="368"/>
      <c r="G50" s="590">
        <f t="shared" si="0"/>
        <v>0</v>
      </c>
    </row>
    <row r="51" spans="1:7" ht="12.75" customHeight="1" x14ac:dyDescent="0.25">
      <c r="A51" s="61" t="s">
        <v>724</v>
      </c>
      <c r="B51" s="93">
        <v>684</v>
      </c>
      <c r="C51" s="90" t="s">
        <v>116</v>
      </c>
      <c r="D51" s="367"/>
      <c r="E51" s="368"/>
      <c r="G51" s="590">
        <f t="shared" si="0"/>
        <v>0</v>
      </c>
    </row>
    <row r="52" spans="1:7" x14ac:dyDescent="0.25">
      <c r="A52" s="61" t="s">
        <v>725</v>
      </c>
      <c r="B52" s="94" t="s">
        <v>726</v>
      </c>
      <c r="C52" s="90" t="s">
        <v>119</v>
      </c>
      <c r="D52" s="782">
        <v>7881.0415599999997</v>
      </c>
      <c r="E52" s="783">
        <v>2130.3795399999999</v>
      </c>
      <c r="G52" s="590">
        <f t="shared" si="0"/>
        <v>10011.4211</v>
      </c>
    </row>
    <row r="53" spans="1:7" x14ac:dyDescent="0.25">
      <c r="A53" s="61" t="s">
        <v>727</v>
      </c>
      <c r="B53" s="92" t="s">
        <v>728</v>
      </c>
      <c r="C53" s="90" t="s">
        <v>122</v>
      </c>
      <c r="D53" s="365">
        <f>SUM(D54:D59)</f>
        <v>13.645810000000001</v>
      </c>
      <c r="E53" s="369">
        <f>SUM(E54:E59)</f>
        <v>0</v>
      </c>
      <c r="G53" s="590">
        <f t="shared" si="0"/>
        <v>13.645810000000001</v>
      </c>
    </row>
    <row r="54" spans="1:7" x14ac:dyDescent="0.25">
      <c r="A54" s="61" t="s">
        <v>729</v>
      </c>
      <c r="B54" s="94">
        <v>641.64200000000005</v>
      </c>
      <c r="C54" s="90" t="s">
        <v>124</v>
      </c>
      <c r="D54" s="367"/>
      <c r="E54" s="368"/>
      <c r="G54" s="590">
        <f t="shared" si="0"/>
        <v>0</v>
      </c>
    </row>
    <row r="55" spans="1:7" x14ac:dyDescent="0.25">
      <c r="A55" s="61" t="s">
        <v>730</v>
      </c>
      <c r="B55" s="95">
        <v>643</v>
      </c>
      <c r="C55" s="90" t="s">
        <v>127</v>
      </c>
      <c r="D55" s="367"/>
      <c r="E55" s="368"/>
      <c r="G55" s="590">
        <f t="shared" si="0"/>
        <v>0</v>
      </c>
    </row>
    <row r="56" spans="1:7" x14ac:dyDescent="0.25">
      <c r="A56" s="61" t="s">
        <v>731</v>
      </c>
      <c r="B56" s="93">
        <v>644</v>
      </c>
      <c r="C56" s="90" t="s">
        <v>130</v>
      </c>
      <c r="D56" s="367"/>
      <c r="E56" s="368"/>
      <c r="G56" s="590">
        <f t="shared" si="0"/>
        <v>0</v>
      </c>
    </row>
    <row r="57" spans="1:7" x14ac:dyDescent="0.25">
      <c r="A57" s="61" t="s">
        <v>732</v>
      </c>
      <c r="B57" s="93">
        <v>645</v>
      </c>
      <c r="C57" s="90" t="s">
        <v>133</v>
      </c>
      <c r="D57" s="367"/>
      <c r="E57" s="368"/>
      <c r="G57" s="590">
        <f t="shared" si="0"/>
        <v>0</v>
      </c>
    </row>
    <row r="58" spans="1:7" x14ac:dyDescent="0.25">
      <c r="A58" s="61" t="s">
        <v>733</v>
      </c>
      <c r="B58" s="93">
        <v>648</v>
      </c>
      <c r="C58" s="90" t="s">
        <v>135</v>
      </c>
      <c r="D58" s="367"/>
      <c r="E58" s="368"/>
      <c r="G58" s="590">
        <f t="shared" si="0"/>
        <v>0</v>
      </c>
    </row>
    <row r="59" spans="1:7" x14ac:dyDescent="0.25">
      <c r="A59" s="61" t="s">
        <v>734</v>
      </c>
      <c r="B59" s="93">
        <v>649</v>
      </c>
      <c r="C59" s="90" t="s">
        <v>138</v>
      </c>
      <c r="D59" s="367">
        <v>13.645810000000001</v>
      </c>
      <c r="E59" s="368"/>
      <c r="G59" s="590">
        <f t="shared" si="0"/>
        <v>13.645810000000001</v>
      </c>
    </row>
    <row r="60" spans="1:7" x14ac:dyDescent="0.25">
      <c r="A60" s="61" t="s">
        <v>735</v>
      </c>
      <c r="B60" s="92" t="s">
        <v>736</v>
      </c>
      <c r="C60" s="90" t="s">
        <v>141</v>
      </c>
      <c r="D60" s="365">
        <f>SUM(D61:D65)</f>
        <v>0</v>
      </c>
      <c r="E60" s="365">
        <f>SUM(E61:E65)</f>
        <v>0</v>
      </c>
      <c r="G60" s="590">
        <f t="shared" si="0"/>
        <v>0</v>
      </c>
    </row>
    <row r="61" spans="1:7" x14ac:dyDescent="0.25">
      <c r="A61" s="61" t="s">
        <v>737</v>
      </c>
      <c r="B61" s="93">
        <v>652</v>
      </c>
      <c r="C61" s="90" t="s">
        <v>144</v>
      </c>
      <c r="D61" s="367"/>
      <c r="E61" s="368"/>
      <c r="G61" s="590">
        <f t="shared" si="0"/>
        <v>0</v>
      </c>
    </row>
    <row r="62" spans="1:7" x14ac:dyDescent="0.25">
      <c r="A62" s="61" t="s">
        <v>738</v>
      </c>
      <c r="B62" s="93">
        <v>653</v>
      </c>
      <c r="C62" s="90" t="s">
        <v>146</v>
      </c>
      <c r="D62" s="367"/>
      <c r="E62" s="368"/>
      <c r="G62" s="590">
        <f t="shared" si="0"/>
        <v>0</v>
      </c>
    </row>
    <row r="63" spans="1:7" x14ac:dyDescent="0.25">
      <c r="A63" s="61" t="s">
        <v>739</v>
      </c>
      <c r="B63" s="93">
        <v>654</v>
      </c>
      <c r="C63" s="90" t="s">
        <v>149</v>
      </c>
      <c r="D63" s="367"/>
      <c r="E63" s="368"/>
      <c r="G63" s="590">
        <f t="shared" si="0"/>
        <v>0</v>
      </c>
    </row>
    <row r="64" spans="1:7" x14ac:dyDescent="0.25">
      <c r="A64" s="61" t="s">
        <v>740</v>
      </c>
      <c r="B64" s="93">
        <v>655</v>
      </c>
      <c r="C64" s="90" t="s">
        <v>152</v>
      </c>
      <c r="D64" s="367"/>
      <c r="E64" s="368"/>
      <c r="G64" s="590">
        <f t="shared" si="0"/>
        <v>0</v>
      </c>
    </row>
    <row r="65" spans="1:7" x14ac:dyDescent="0.25">
      <c r="A65" s="61" t="s">
        <v>741</v>
      </c>
      <c r="B65" s="93">
        <v>657</v>
      </c>
      <c r="C65" s="90" t="s">
        <v>154</v>
      </c>
      <c r="D65" s="367"/>
      <c r="E65" s="368"/>
      <c r="G65" s="590">
        <f t="shared" si="0"/>
        <v>0</v>
      </c>
    </row>
    <row r="66" spans="1:7" ht="15" customHeight="1" thickBot="1" x14ac:dyDescent="0.3">
      <c r="A66" s="100" t="s">
        <v>338</v>
      </c>
      <c r="B66" s="91" t="s">
        <v>742</v>
      </c>
      <c r="C66" s="96" t="s">
        <v>157</v>
      </c>
      <c r="D66" s="412">
        <f>SUM(D46,D48,D52:D53,D60)</f>
        <v>7894.6873699999996</v>
      </c>
      <c r="E66" s="413">
        <f>SUM(E46,E48,E52:E53,E60)</f>
        <v>2130.3795399999999</v>
      </c>
      <c r="G66" s="590">
        <f t="shared" si="0"/>
        <v>10025.06691</v>
      </c>
    </row>
    <row r="67" spans="1:7" x14ac:dyDescent="0.25">
      <c r="A67" s="58" t="s">
        <v>339</v>
      </c>
      <c r="B67" s="92" t="s">
        <v>755</v>
      </c>
      <c r="C67" s="88" t="s">
        <v>160</v>
      </c>
      <c r="D67" s="414">
        <f>D66-D44+D42</f>
        <v>6919.0729899999997</v>
      </c>
      <c r="E67" s="415">
        <f>E66-E44+E42</f>
        <v>819.82867999999985</v>
      </c>
      <c r="G67" s="590">
        <f t="shared" si="0"/>
        <v>7738.9016699999993</v>
      </c>
    </row>
    <row r="68" spans="1:7" x14ac:dyDescent="0.25">
      <c r="A68" s="97" t="s">
        <v>340</v>
      </c>
      <c r="B68" s="92" t="s">
        <v>754</v>
      </c>
      <c r="C68" s="90" t="s">
        <v>163</v>
      </c>
      <c r="D68" s="416">
        <f>D66-D44</f>
        <v>6919.0729899999997</v>
      </c>
      <c r="E68" s="417">
        <f>E66-E44</f>
        <v>819.82867999999985</v>
      </c>
      <c r="G68" s="590">
        <f t="shared" si="0"/>
        <v>7738.9016699999993</v>
      </c>
    </row>
    <row r="69" spans="1:7" x14ac:dyDescent="0.25">
      <c r="A69" s="58"/>
      <c r="B69" s="98"/>
      <c r="C69" s="90"/>
      <c r="D69" s="1326" t="s">
        <v>757</v>
      </c>
      <c r="E69" s="1327"/>
    </row>
    <row r="70" spans="1:7" x14ac:dyDescent="0.25">
      <c r="A70" s="58" t="s">
        <v>743</v>
      </c>
      <c r="B70" s="99" t="s">
        <v>744</v>
      </c>
      <c r="C70" s="90" t="s">
        <v>166</v>
      </c>
      <c r="D70" s="1328">
        <f>+D67+E67</f>
        <v>7738.9016699999993</v>
      </c>
      <c r="E70" s="1329"/>
      <c r="G70" s="590">
        <f>G67</f>
        <v>7738.9016699999993</v>
      </c>
    </row>
    <row r="71" spans="1:7" ht="13.5" thickBot="1" x14ac:dyDescent="0.3">
      <c r="A71" s="100" t="s">
        <v>745</v>
      </c>
      <c r="B71" s="74" t="s">
        <v>746</v>
      </c>
      <c r="C71" s="96" t="s">
        <v>168</v>
      </c>
      <c r="D71" s="1330">
        <f>+D68+E68</f>
        <v>7738.9016699999993</v>
      </c>
      <c r="E71" s="1331"/>
      <c r="G71" s="590">
        <f>G68</f>
        <v>7738.9016699999993</v>
      </c>
    </row>
    <row r="72" spans="1:7" ht="12.75" customHeight="1" x14ac:dyDescent="0.25">
      <c r="A72" s="101"/>
      <c r="B72" s="80"/>
      <c r="C72" s="80"/>
    </row>
    <row r="73" spans="1:7" ht="12.75" customHeight="1" x14ac:dyDescent="0.25">
      <c r="A73" s="76" t="s">
        <v>467</v>
      </c>
      <c r="B73" s="80"/>
      <c r="C73" s="80"/>
    </row>
    <row r="74" spans="1:7" ht="12.75" customHeight="1" x14ac:dyDescent="0.25">
      <c r="A74" s="19" t="s">
        <v>747</v>
      </c>
      <c r="B74" s="80"/>
      <c r="C74" s="80"/>
    </row>
    <row r="75" spans="1:7" x14ac:dyDescent="0.25">
      <c r="A75" s="19" t="s">
        <v>748</v>
      </c>
      <c r="B75" s="81"/>
      <c r="C75" s="81"/>
    </row>
    <row r="76" spans="1:7" x14ac:dyDescent="0.25">
      <c r="A76" s="19" t="s">
        <v>668</v>
      </c>
      <c r="B76" s="81"/>
      <c r="C76" s="81"/>
    </row>
    <row r="77" spans="1:7" x14ac:dyDescent="0.25">
      <c r="A77" s="19" t="s">
        <v>669</v>
      </c>
    </row>
  </sheetData>
  <mergeCells count="9">
    <mergeCell ref="D69:E69"/>
    <mergeCell ref="D70:E70"/>
    <mergeCell ref="D71:E71"/>
    <mergeCell ref="A1:E1"/>
    <mergeCell ref="A2:E2"/>
    <mergeCell ref="A3:E3"/>
    <mergeCell ref="A4:E4"/>
    <mergeCell ref="B6:C6"/>
    <mergeCell ref="A45:E45"/>
  </mergeCells>
  <printOptions horizontalCentered="1" verticalCentered="1"/>
  <pageMargins left="0.70866141732283472" right="0" top="0.19685039370078741" bottom="0.19685039370078741" header="0.51181102362204722" footer="0.51181102362204722"/>
  <pageSetup paperSize="9" scale="22" orientation="portrait" r:id="rId1"/>
  <headerFooter alignWithMargins="0"/>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G77"/>
  <sheetViews>
    <sheetView zoomScaleNormal="100" workbookViewId="0">
      <pane ySplit="5" topLeftCell="A65" activePane="bottomLeft" state="frozenSplit"/>
      <selection activeCell="E63" sqref="E63"/>
      <selection pane="bottomLeft" activeCell="E63" sqref="E63"/>
    </sheetView>
  </sheetViews>
  <sheetFormatPr defaultColWidth="9.140625" defaultRowHeight="12.75" x14ac:dyDescent="0.25"/>
  <cols>
    <col min="1" max="1" width="60.42578125" style="76" customWidth="1"/>
    <col min="2" max="2" width="16.7109375" style="102" customWidth="1"/>
    <col min="3" max="3" width="9.140625" style="102"/>
    <col min="4" max="4" width="12.5703125" style="78" customWidth="1"/>
    <col min="5" max="5" width="15.140625" style="78" customWidth="1"/>
    <col min="6" max="6" width="9.140625" style="19"/>
    <col min="7" max="7" width="7.42578125" style="19" bestFit="1" customWidth="1"/>
    <col min="8" max="16384" width="9.140625" style="19"/>
  </cols>
  <sheetData>
    <row r="1" spans="1:7" ht="23.25" x14ac:dyDescent="0.25">
      <c r="A1" s="1340" t="s">
        <v>1044</v>
      </c>
      <c r="B1" s="1340"/>
      <c r="C1" s="1340"/>
      <c r="D1" s="1340"/>
      <c r="E1" s="1340"/>
    </row>
    <row r="2" spans="1:7" ht="12.75" customHeight="1" thickBot="1" x14ac:dyDescent="0.3">
      <c r="A2" s="1333"/>
      <c r="B2" s="1333"/>
      <c r="C2" s="1333"/>
      <c r="D2" s="1333"/>
      <c r="E2" s="1333"/>
    </row>
    <row r="3" spans="1:7" ht="27.95" customHeight="1" thickBot="1" x14ac:dyDescent="0.3">
      <c r="A3" s="1318" t="s">
        <v>670</v>
      </c>
      <c r="B3" s="1319"/>
      <c r="C3" s="1319"/>
      <c r="D3" s="1319"/>
      <c r="E3" s="1320"/>
    </row>
    <row r="4" spans="1:7" ht="15" customHeight="1" thickBot="1" x14ac:dyDescent="0.3">
      <c r="A4" s="1321" t="s">
        <v>441</v>
      </c>
      <c r="B4" s="1322"/>
      <c r="C4" s="1322"/>
      <c r="D4" s="1322"/>
      <c r="E4" s="1323"/>
      <c r="G4" s="589" t="s">
        <v>371</v>
      </c>
    </row>
    <row r="5" spans="1:7" s="85" customFormat="1" ht="39" thickBot="1" x14ac:dyDescent="0.3">
      <c r="A5" s="82" t="s">
        <v>671</v>
      </c>
      <c r="B5" s="83" t="s">
        <v>564</v>
      </c>
      <c r="C5" s="84" t="s">
        <v>672</v>
      </c>
      <c r="D5" s="56" t="s">
        <v>758</v>
      </c>
      <c r="E5" s="57" t="s">
        <v>759</v>
      </c>
    </row>
    <row r="6" spans="1:7" s="85" customFormat="1" x14ac:dyDescent="0.25">
      <c r="A6" s="86" t="s">
        <v>333</v>
      </c>
      <c r="B6" s="1334"/>
      <c r="C6" s="1335"/>
      <c r="D6" s="59" t="s">
        <v>429</v>
      </c>
      <c r="E6" s="60" t="s">
        <v>430</v>
      </c>
    </row>
    <row r="7" spans="1:7" x14ac:dyDescent="0.25">
      <c r="A7" s="72" t="s">
        <v>673</v>
      </c>
      <c r="B7" s="87" t="s">
        <v>674</v>
      </c>
      <c r="C7" s="88" t="s">
        <v>2</v>
      </c>
      <c r="D7" s="371">
        <f>SUM(D8:D13)</f>
        <v>0</v>
      </c>
      <c r="E7" s="372">
        <f>SUM(E8:E13)</f>
        <v>7504.3012399999989</v>
      </c>
      <c r="G7" s="590">
        <f>D7+E7</f>
        <v>7504.3012399999989</v>
      </c>
    </row>
    <row r="8" spans="1:7" x14ac:dyDescent="0.25">
      <c r="A8" s="61" t="s">
        <v>675</v>
      </c>
      <c r="B8" s="89" t="s">
        <v>676</v>
      </c>
      <c r="C8" s="90" t="s">
        <v>5</v>
      </c>
      <c r="D8" s="367"/>
      <c r="E8" s="368">
        <v>3617.2684399999998</v>
      </c>
      <c r="G8" s="590">
        <f t="shared" ref="G8:G68" si="0">D8+E8</f>
        <v>3617.2684399999998</v>
      </c>
    </row>
    <row r="9" spans="1:7" x14ac:dyDescent="0.25">
      <c r="A9" s="61" t="s">
        <v>677</v>
      </c>
      <c r="B9" s="89">
        <v>504</v>
      </c>
      <c r="C9" s="90" t="s">
        <v>8</v>
      </c>
      <c r="D9" s="367"/>
      <c r="E9" s="368"/>
      <c r="G9" s="590">
        <f t="shared" si="0"/>
        <v>0</v>
      </c>
    </row>
    <row r="10" spans="1:7" x14ac:dyDescent="0.25">
      <c r="A10" s="61" t="s">
        <v>678</v>
      </c>
      <c r="B10" s="89">
        <v>511</v>
      </c>
      <c r="C10" s="90" t="s">
        <v>11</v>
      </c>
      <c r="D10" s="367"/>
      <c r="E10" s="368">
        <v>1501.3951099999999</v>
      </c>
      <c r="G10" s="590">
        <f t="shared" si="0"/>
        <v>1501.3951099999999</v>
      </c>
    </row>
    <row r="11" spans="1:7" x14ac:dyDescent="0.25">
      <c r="A11" s="61" t="s">
        <v>679</v>
      </c>
      <c r="B11" s="89">
        <v>512</v>
      </c>
      <c r="C11" s="90" t="s">
        <v>14</v>
      </c>
      <c r="D11" s="367"/>
      <c r="E11" s="368"/>
      <c r="G11" s="590">
        <f t="shared" si="0"/>
        <v>0</v>
      </c>
    </row>
    <row r="12" spans="1:7" x14ac:dyDescent="0.25">
      <c r="A12" s="61" t="s">
        <v>680</v>
      </c>
      <c r="B12" s="89">
        <v>513</v>
      </c>
      <c r="C12" s="90" t="s">
        <v>17</v>
      </c>
      <c r="D12" s="367"/>
      <c r="E12" s="368">
        <v>4.431</v>
      </c>
      <c r="G12" s="590">
        <f t="shared" si="0"/>
        <v>4.431</v>
      </c>
    </row>
    <row r="13" spans="1:7" x14ac:dyDescent="0.25">
      <c r="A13" s="61" t="s">
        <v>681</v>
      </c>
      <c r="B13" s="89">
        <v>518</v>
      </c>
      <c r="C13" s="90" t="s">
        <v>20</v>
      </c>
      <c r="D13" s="367"/>
      <c r="E13" s="368">
        <v>2381.20669</v>
      </c>
      <c r="G13" s="590">
        <f t="shared" si="0"/>
        <v>2381.20669</v>
      </c>
    </row>
    <row r="14" spans="1:7" x14ac:dyDescent="0.25">
      <c r="A14" s="61" t="s">
        <v>682</v>
      </c>
      <c r="B14" s="87" t="s">
        <v>683</v>
      </c>
      <c r="C14" s="90" t="s">
        <v>23</v>
      </c>
      <c r="D14" s="371">
        <f>SUM(D15:D17)</f>
        <v>0</v>
      </c>
      <c r="E14" s="373">
        <f>SUM(E15:E17)</f>
        <v>0</v>
      </c>
      <c r="G14" s="590">
        <f t="shared" si="0"/>
        <v>0</v>
      </c>
    </row>
    <row r="15" spans="1:7" x14ac:dyDescent="0.25">
      <c r="A15" s="61" t="s">
        <v>684</v>
      </c>
      <c r="B15" s="89">
        <v>56</v>
      </c>
      <c r="C15" s="90" t="s">
        <v>26</v>
      </c>
      <c r="D15" s="367"/>
      <c r="E15" s="368"/>
      <c r="G15" s="590">
        <f t="shared" si="0"/>
        <v>0</v>
      </c>
    </row>
    <row r="16" spans="1:7" x14ac:dyDescent="0.25">
      <c r="A16" s="61" t="s">
        <v>685</v>
      </c>
      <c r="B16" s="89">
        <v>571.572</v>
      </c>
      <c r="C16" s="90" t="s">
        <v>29</v>
      </c>
      <c r="D16" s="367"/>
      <c r="E16" s="368"/>
      <c r="G16" s="590">
        <f t="shared" si="0"/>
        <v>0</v>
      </c>
    </row>
    <row r="17" spans="1:7" x14ac:dyDescent="0.25">
      <c r="A17" s="61" t="s">
        <v>686</v>
      </c>
      <c r="B17" s="89">
        <v>573.57399999999996</v>
      </c>
      <c r="C17" s="90" t="s">
        <v>32</v>
      </c>
      <c r="D17" s="367"/>
      <c r="E17" s="368"/>
      <c r="G17" s="590">
        <f t="shared" si="0"/>
        <v>0</v>
      </c>
    </row>
    <row r="18" spans="1:7" x14ac:dyDescent="0.25">
      <c r="A18" s="61" t="s">
        <v>687</v>
      </c>
      <c r="B18" s="89" t="s">
        <v>688</v>
      </c>
      <c r="C18" s="90" t="s">
        <v>34</v>
      </c>
      <c r="D18" s="365">
        <f>SUM(D19:D23)</f>
        <v>0</v>
      </c>
      <c r="E18" s="373">
        <f>SUM(E19:E23)</f>
        <v>7391.8860000000004</v>
      </c>
      <c r="G18" s="590">
        <f t="shared" si="0"/>
        <v>7391.8860000000004</v>
      </c>
    </row>
    <row r="19" spans="1:7" x14ac:dyDescent="0.25">
      <c r="A19" s="61" t="s">
        <v>689</v>
      </c>
      <c r="B19" s="89">
        <v>521</v>
      </c>
      <c r="C19" s="90" t="s">
        <v>37</v>
      </c>
      <c r="D19" s="367"/>
      <c r="E19" s="368">
        <v>5458.8940000000002</v>
      </c>
      <c r="G19" s="590">
        <f t="shared" si="0"/>
        <v>5458.8940000000002</v>
      </c>
    </row>
    <row r="20" spans="1:7" x14ac:dyDescent="0.25">
      <c r="A20" s="61" t="s">
        <v>690</v>
      </c>
      <c r="B20" s="89">
        <v>524</v>
      </c>
      <c r="C20" s="90" t="s">
        <v>39</v>
      </c>
      <c r="D20" s="367"/>
      <c r="E20" s="368">
        <v>1767.17</v>
      </c>
      <c r="G20" s="590">
        <f t="shared" si="0"/>
        <v>1767.17</v>
      </c>
    </row>
    <row r="21" spans="1:7" x14ac:dyDescent="0.25">
      <c r="A21" s="61" t="s">
        <v>691</v>
      </c>
      <c r="B21" s="89">
        <v>525</v>
      </c>
      <c r="C21" s="90" t="s">
        <v>42</v>
      </c>
      <c r="D21" s="367"/>
      <c r="E21" s="368"/>
      <c r="G21" s="590">
        <f t="shared" si="0"/>
        <v>0</v>
      </c>
    </row>
    <row r="22" spans="1:7" x14ac:dyDescent="0.25">
      <c r="A22" s="61" t="s">
        <v>692</v>
      </c>
      <c r="B22" s="89">
        <v>527</v>
      </c>
      <c r="C22" s="90" t="s">
        <v>44</v>
      </c>
      <c r="D22" s="367"/>
      <c r="E22" s="368">
        <v>71.822000000000003</v>
      </c>
      <c r="G22" s="590">
        <f t="shared" si="0"/>
        <v>71.822000000000003</v>
      </c>
    </row>
    <row r="23" spans="1:7" x14ac:dyDescent="0.25">
      <c r="A23" s="61" t="s">
        <v>693</v>
      </c>
      <c r="B23" s="89">
        <v>528</v>
      </c>
      <c r="C23" s="90" t="s">
        <v>47</v>
      </c>
      <c r="D23" s="367"/>
      <c r="E23" s="368">
        <v>94</v>
      </c>
      <c r="G23" s="590">
        <f t="shared" si="0"/>
        <v>94</v>
      </c>
    </row>
    <row r="24" spans="1:7" x14ac:dyDescent="0.25">
      <c r="A24" s="61" t="s">
        <v>694</v>
      </c>
      <c r="B24" s="89" t="s">
        <v>695</v>
      </c>
      <c r="C24" s="90" t="s">
        <v>50</v>
      </c>
      <c r="D24" s="365">
        <f>D25</f>
        <v>0</v>
      </c>
      <c r="E24" s="373">
        <f>E25</f>
        <v>0</v>
      </c>
      <c r="G24" s="590">
        <f t="shared" si="0"/>
        <v>0</v>
      </c>
    </row>
    <row r="25" spans="1:7" x14ac:dyDescent="0.25">
      <c r="A25" s="61" t="s">
        <v>696</v>
      </c>
      <c r="B25" s="89">
        <v>53</v>
      </c>
      <c r="C25" s="90" t="s">
        <v>53</v>
      </c>
      <c r="D25" s="367"/>
      <c r="E25" s="368"/>
      <c r="G25" s="590">
        <f t="shared" si="0"/>
        <v>0</v>
      </c>
    </row>
    <row r="26" spans="1:7" x14ac:dyDescent="0.25">
      <c r="A26" s="61" t="s">
        <v>697</v>
      </c>
      <c r="B26" s="89" t="s">
        <v>698</v>
      </c>
      <c r="C26" s="90" t="s">
        <v>56</v>
      </c>
      <c r="D26" s="365">
        <f>SUM(D27:D33)</f>
        <v>-3.5E-4</v>
      </c>
      <c r="E26" s="373">
        <f>SUM(E27:E33)</f>
        <v>602.95760999999993</v>
      </c>
      <c r="G26" s="590">
        <f t="shared" si="0"/>
        <v>602.95725999999991</v>
      </c>
    </row>
    <row r="27" spans="1:7" x14ac:dyDescent="0.25">
      <c r="A27" s="61" t="s">
        <v>699</v>
      </c>
      <c r="B27" s="89">
        <v>541.54200000000003</v>
      </c>
      <c r="C27" s="90" t="s">
        <v>58</v>
      </c>
      <c r="D27" s="367"/>
      <c r="E27" s="368"/>
      <c r="G27" s="590">
        <f t="shared" si="0"/>
        <v>0</v>
      </c>
    </row>
    <row r="28" spans="1:7" x14ac:dyDescent="0.25">
      <c r="A28" s="61" t="s">
        <v>700</v>
      </c>
      <c r="B28" s="89">
        <v>543</v>
      </c>
      <c r="C28" s="90" t="s">
        <v>60</v>
      </c>
      <c r="D28" s="367"/>
      <c r="E28" s="368"/>
      <c r="G28" s="590">
        <f t="shared" si="0"/>
        <v>0</v>
      </c>
    </row>
    <row r="29" spans="1:7" x14ac:dyDescent="0.25">
      <c r="A29" s="61" t="s">
        <v>701</v>
      </c>
      <c r="B29" s="89">
        <v>544</v>
      </c>
      <c r="C29" s="90" t="s">
        <v>62</v>
      </c>
      <c r="D29" s="367"/>
      <c r="E29" s="368"/>
      <c r="G29" s="590">
        <f t="shared" si="0"/>
        <v>0</v>
      </c>
    </row>
    <row r="30" spans="1:7" x14ac:dyDescent="0.25">
      <c r="A30" s="61" t="s">
        <v>702</v>
      </c>
      <c r="B30" s="89">
        <v>545</v>
      </c>
      <c r="C30" s="90" t="s">
        <v>65</v>
      </c>
      <c r="D30" s="367"/>
      <c r="E30" s="368">
        <v>1.6018600000000001</v>
      </c>
      <c r="G30" s="590">
        <f t="shared" si="0"/>
        <v>1.6018600000000001</v>
      </c>
    </row>
    <row r="31" spans="1:7" x14ac:dyDescent="0.25">
      <c r="A31" s="61" t="s">
        <v>703</v>
      </c>
      <c r="B31" s="89">
        <v>546</v>
      </c>
      <c r="C31" s="90" t="s">
        <v>67</v>
      </c>
      <c r="D31" s="367"/>
      <c r="E31" s="368"/>
      <c r="G31" s="590">
        <f t="shared" si="0"/>
        <v>0</v>
      </c>
    </row>
    <row r="32" spans="1:7" x14ac:dyDescent="0.25">
      <c r="A32" s="61" t="s">
        <v>704</v>
      </c>
      <c r="B32" s="89">
        <v>548</v>
      </c>
      <c r="C32" s="90" t="s">
        <v>69</v>
      </c>
      <c r="D32" s="367"/>
      <c r="E32" s="368"/>
      <c r="G32" s="590">
        <f t="shared" si="0"/>
        <v>0</v>
      </c>
    </row>
    <row r="33" spans="1:7" x14ac:dyDescent="0.25">
      <c r="A33" s="61" t="s">
        <v>705</v>
      </c>
      <c r="B33" s="89">
        <v>549</v>
      </c>
      <c r="C33" s="90" t="s">
        <v>72</v>
      </c>
      <c r="D33" s="367">
        <v>-3.5E-4</v>
      </c>
      <c r="E33" s="368">
        <v>601.35574999999994</v>
      </c>
      <c r="G33" s="590">
        <f t="shared" si="0"/>
        <v>601.35539999999992</v>
      </c>
    </row>
    <row r="34" spans="1:7" ht="12.75" customHeight="1" x14ac:dyDescent="0.25">
      <c r="A34" s="61" t="s">
        <v>706</v>
      </c>
      <c r="B34" s="89" t="s">
        <v>707</v>
      </c>
      <c r="C34" s="90" t="s">
        <v>73</v>
      </c>
      <c r="D34" s="365">
        <f>SUM(D35:D39)</f>
        <v>2798.748</v>
      </c>
      <c r="E34" s="373">
        <f>SUM(E35:E39)</f>
        <v>0</v>
      </c>
      <c r="G34" s="590">
        <f t="shared" si="0"/>
        <v>2798.748</v>
      </c>
    </row>
    <row r="35" spans="1:7" x14ac:dyDescent="0.25">
      <c r="A35" s="61" t="s">
        <v>708</v>
      </c>
      <c r="B35" s="89">
        <v>551</v>
      </c>
      <c r="C35" s="90" t="s">
        <v>75</v>
      </c>
      <c r="D35" s="367">
        <v>2798.748</v>
      </c>
      <c r="E35" s="368"/>
      <c r="G35" s="590">
        <f t="shared" si="0"/>
        <v>2798.748</v>
      </c>
    </row>
    <row r="36" spans="1:7" ht="12.75" customHeight="1" x14ac:dyDescent="0.25">
      <c r="A36" s="61" t="s">
        <v>709</v>
      </c>
      <c r="B36" s="89">
        <v>552</v>
      </c>
      <c r="C36" s="90" t="s">
        <v>78</v>
      </c>
      <c r="D36" s="367"/>
      <c r="E36" s="368"/>
      <c r="G36" s="590">
        <f t="shared" si="0"/>
        <v>0</v>
      </c>
    </row>
    <row r="37" spans="1:7" x14ac:dyDescent="0.25">
      <c r="A37" s="61" t="s">
        <v>710</v>
      </c>
      <c r="B37" s="89">
        <v>553</v>
      </c>
      <c r="C37" s="90" t="s">
        <v>81</v>
      </c>
      <c r="D37" s="367"/>
      <c r="E37" s="368"/>
      <c r="G37" s="590">
        <f t="shared" si="0"/>
        <v>0</v>
      </c>
    </row>
    <row r="38" spans="1:7" x14ac:dyDescent="0.25">
      <c r="A38" s="61" t="s">
        <v>711</v>
      </c>
      <c r="B38" s="89">
        <v>554</v>
      </c>
      <c r="C38" s="90" t="s">
        <v>84</v>
      </c>
      <c r="D38" s="367"/>
      <c r="E38" s="368"/>
      <c r="G38" s="590">
        <f t="shared" si="0"/>
        <v>0</v>
      </c>
    </row>
    <row r="39" spans="1:7" x14ac:dyDescent="0.25">
      <c r="A39" s="61" t="s">
        <v>712</v>
      </c>
      <c r="B39" s="89" t="s">
        <v>713</v>
      </c>
      <c r="C39" s="90" t="s">
        <v>86</v>
      </c>
      <c r="D39" s="367"/>
      <c r="E39" s="368"/>
      <c r="G39" s="590">
        <f t="shared" si="0"/>
        <v>0</v>
      </c>
    </row>
    <row r="40" spans="1:7" x14ac:dyDescent="0.25">
      <c r="A40" s="61" t="s">
        <v>334</v>
      </c>
      <c r="B40" s="89" t="s">
        <v>714</v>
      </c>
      <c r="C40" s="90" t="s">
        <v>88</v>
      </c>
      <c r="D40" s="365">
        <f>D41</f>
        <v>0</v>
      </c>
      <c r="E40" s="373">
        <f>E41</f>
        <v>0</v>
      </c>
      <c r="G40" s="590">
        <f t="shared" si="0"/>
        <v>0</v>
      </c>
    </row>
    <row r="41" spans="1:7" x14ac:dyDescent="0.25">
      <c r="A41" s="61" t="s">
        <v>715</v>
      </c>
      <c r="B41" s="89">
        <v>581</v>
      </c>
      <c r="C41" s="90" t="s">
        <v>91</v>
      </c>
      <c r="D41" s="367"/>
      <c r="E41" s="368"/>
      <c r="G41" s="590">
        <f t="shared" si="0"/>
        <v>0</v>
      </c>
    </row>
    <row r="42" spans="1:7" x14ac:dyDescent="0.25">
      <c r="A42" s="61" t="s">
        <v>335</v>
      </c>
      <c r="B42" s="89" t="s">
        <v>716</v>
      </c>
      <c r="C42" s="90" t="s">
        <v>93</v>
      </c>
      <c r="D42" s="365">
        <f>D43</f>
        <v>0</v>
      </c>
      <c r="E42" s="373">
        <f>E43</f>
        <v>0</v>
      </c>
      <c r="G42" s="590">
        <f t="shared" si="0"/>
        <v>0</v>
      </c>
    </row>
    <row r="43" spans="1:7" ht="14.25" customHeight="1" x14ac:dyDescent="0.25">
      <c r="A43" s="61" t="s">
        <v>717</v>
      </c>
      <c r="B43" s="89">
        <v>59</v>
      </c>
      <c r="C43" s="90" t="s">
        <v>96</v>
      </c>
      <c r="D43" s="367"/>
      <c r="E43" s="368"/>
      <c r="G43" s="590">
        <f t="shared" si="0"/>
        <v>0</v>
      </c>
    </row>
    <row r="44" spans="1:7" ht="26.25" thickBot="1" x14ac:dyDescent="0.3">
      <c r="A44" s="100" t="s">
        <v>336</v>
      </c>
      <c r="B44" s="91" t="s">
        <v>760</v>
      </c>
      <c r="C44" s="90" t="s">
        <v>99</v>
      </c>
      <c r="D44" s="412">
        <f>SUM(D7,D14,D18,D24,D26,D34,D40,D42)</f>
        <v>2798.7476500000002</v>
      </c>
      <c r="E44" s="413">
        <f>SUM(E7,E14,E18,E24,E26,E34,E40,E42)</f>
        <v>15499.144849999999</v>
      </c>
      <c r="G44" s="590">
        <f t="shared" si="0"/>
        <v>18297.892499999998</v>
      </c>
    </row>
    <row r="45" spans="1:7" ht="12.75" customHeight="1" thickBot="1" x14ac:dyDescent="0.3">
      <c r="A45" s="1336" t="s">
        <v>337</v>
      </c>
      <c r="B45" s="1337"/>
      <c r="C45" s="1337"/>
      <c r="D45" s="1337"/>
      <c r="E45" s="1338"/>
      <c r="G45" s="590">
        <f t="shared" si="0"/>
        <v>0</v>
      </c>
    </row>
    <row r="46" spans="1:7" ht="12.75" customHeight="1" x14ac:dyDescent="0.25">
      <c r="A46" s="72" t="s">
        <v>718</v>
      </c>
      <c r="B46" s="92" t="s">
        <v>753</v>
      </c>
      <c r="C46" s="90" t="s">
        <v>103</v>
      </c>
      <c r="D46" s="365">
        <f>D47</f>
        <v>0</v>
      </c>
      <c r="E46" s="366">
        <f>E47</f>
        <v>0</v>
      </c>
      <c r="G46" s="590">
        <f t="shared" si="0"/>
        <v>0</v>
      </c>
    </row>
    <row r="47" spans="1:7" ht="12.75" customHeight="1" x14ac:dyDescent="0.25">
      <c r="A47" s="61" t="s">
        <v>719</v>
      </c>
      <c r="B47" s="93">
        <v>691</v>
      </c>
      <c r="C47" s="90" t="s">
        <v>105</v>
      </c>
      <c r="D47" s="367">
        <v>0</v>
      </c>
      <c r="E47" s="368">
        <v>0</v>
      </c>
      <c r="G47" s="590">
        <f t="shared" si="0"/>
        <v>0</v>
      </c>
    </row>
    <row r="48" spans="1:7" ht="12.75" customHeight="1" x14ac:dyDescent="0.25">
      <c r="A48" s="61" t="s">
        <v>720</v>
      </c>
      <c r="B48" s="92" t="s">
        <v>721</v>
      </c>
      <c r="C48" s="90" t="s">
        <v>107</v>
      </c>
      <c r="D48" s="365">
        <f>SUM(D49:D51)</f>
        <v>0</v>
      </c>
      <c r="E48" s="369">
        <f>SUM(E49:E51)</f>
        <v>0</v>
      </c>
      <c r="G48" s="590">
        <f t="shared" si="0"/>
        <v>0</v>
      </c>
    </row>
    <row r="49" spans="1:7" ht="12.75" customHeight="1" x14ac:dyDescent="0.25">
      <c r="A49" s="61" t="s">
        <v>722</v>
      </c>
      <c r="B49" s="93">
        <v>681</v>
      </c>
      <c r="C49" s="90" t="s">
        <v>110</v>
      </c>
      <c r="D49" s="367"/>
      <c r="E49" s="368"/>
      <c r="G49" s="590">
        <f t="shared" si="0"/>
        <v>0</v>
      </c>
    </row>
    <row r="50" spans="1:7" ht="12.75" customHeight="1" x14ac:dyDescent="0.25">
      <c r="A50" s="61" t="s">
        <v>723</v>
      </c>
      <c r="B50" s="93">
        <v>682</v>
      </c>
      <c r="C50" s="90" t="s">
        <v>113</v>
      </c>
      <c r="D50" s="367"/>
      <c r="E50" s="368"/>
      <c r="G50" s="590">
        <f t="shared" si="0"/>
        <v>0</v>
      </c>
    </row>
    <row r="51" spans="1:7" ht="12.75" customHeight="1" x14ac:dyDescent="0.25">
      <c r="A51" s="61" t="s">
        <v>724</v>
      </c>
      <c r="B51" s="93">
        <v>684</v>
      </c>
      <c r="C51" s="90" t="s">
        <v>116</v>
      </c>
      <c r="D51" s="367"/>
      <c r="E51" s="368"/>
      <c r="G51" s="590">
        <f t="shared" si="0"/>
        <v>0</v>
      </c>
    </row>
    <row r="52" spans="1:7" x14ac:dyDescent="0.25">
      <c r="A52" s="61" t="s">
        <v>725</v>
      </c>
      <c r="B52" s="94" t="s">
        <v>726</v>
      </c>
      <c r="C52" s="90" t="s">
        <v>119</v>
      </c>
      <c r="D52" s="782"/>
      <c r="E52" s="783">
        <v>30920.062010000001</v>
      </c>
      <c r="G52" s="590">
        <f t="shared" si="0"/>
        <v>30920.062010000001</v>
      </c>
    </row>
    <row r="53" spans="1:7" x14ac:dyDescent="0.25">
      <c r="A53" s="61" t="s">
        <v>727</v>
      </c>
      <c r="B53" s="92" t="s">
        <v>728</v>
      </c>
      <c r="C53" s="90" t="s">
        <v>122</v>
      </c>
      <c r="D53" s="365">
        <f>SUM(D54:D59)</f>
        <v>380.21375999999998</v>
      </c>
      <c r="E53" s="369">
        <f>SUM(E54:E59)</f>
        <v>289.80901</v>
      </c>
      <c r="G53" s="590">
        <f t="shared" si="0"/>
        <v>670.02277000000004</v>
      </c>
    </row>
    <row r="54" spans="1:7" x14ac:dyDescent="0.25">
      <c r="A54" s="61" t="s">
        <v>729</v>
      </c>
      <c r="B54" s="94">
        <v>641.64200000000005</v>
      </c>
      <c r="C54" s="90" t="s">
        <v>124</v>
      </c>
      <c r="D54" s="367"/>
      <c r="E54" s="368"/>
      <c r="G54" s="590">
        <f t="shared" si="0"/>
        <v>0</v>
      </c>
    </row>
    <row r="55" spans="1:7" x14ac:dyDescent="0.25">
      <c r="A55" s="61" t="s">
        <v>730</v>
      </c>
      <c r="B55" s="95">
        <v>643</v>
      </c>
      <c r="C55" s="90" t="s">
        <v>127</v>
      </c>
      <c r="D55" s="367"/>
      <c r="E55" s="368"/>
      <c r="G55" s="590">
        <f t="shared" si="0"/>
        <v>0</v>
      </c>
    </row>
    <row r="56" spans="1:7" x14ac:dyDescent="0.25">
      <c r="A56" s="61" t="s">
        <v>731</v>
      </c>
      <c r="B56" s="93">
        <v>644</v>
      </c>
      <c r="C56" s="90" t="s">
        <v>130</v>
      </c>
      <c r="D56" s="367"/>
      <c r="E56" s="368"/>
      <c r="G56" s="590">
        <f t="shared" si="0"/>
        <v>0</v>
      </c>
    </row>
    <row r="57" spans="1:7" x14ac:dyDescent="0.25">
      <c r="A57" s="61" t="s">
        <v>732</v>
      </c>
      <c r="B57" s="93">
        <v>645</v>
      </c>
      <c r="C57" s="90" t="s">
        <v>133</v>
      </c>
      <c r="D57" s="367"/>
      <c r="E57" s="368">
        <v>0.10098</v>
      </c>
      <c r="G57" s="590">
        <f t="shared" si="0"/>
        <v>0.10098</v>
      </c>
    </row>
    <row r="58" spans="1:7" x14ac:dyDescent="0.25">
      <c r="A58" s="61" t="s">
        <v>733</v>
      </c>
      <c r="B58" s="93">
        <v>648</v>
      </c>
      <c r="C58" s="90" t="s">
        <v>135</v>
      </c>
      <c r="D58" s="367"/>
      <c r="E58" s="368">
        <v>94</v>
      </c>
      <c r="G58" s="590">
        <f t="shared" si="0"/>
        <v>94</v>
      </c>
    </row>
    <row r="59" spans="1:7" x14ac:dyDescent="0.25">
      <c r="A59" s="61" t="s">
        <v>734</v>
      </c>
      <c r="B59" s="93">
        <v>649</v>
      </c>
      <c r="C59" s="90" t="s">
        <v>138</v>
      </c>
      <c r="D59" s="367">
        <v>380.21375999999998</v>
      </c>
      <c r="E59" s="368">
        <v>195.70803000000001</v>
      </c>
      <c r="G59" s="590">
        <f t="shared" si="0"/>
        <v>575.92178999999999</v>
      </c>
    </row>
    <row r="60" spans="1:7" x14ac:dyDescent="0.25">
      <c r="A60" s="61" t="s">
        <v>735</v>
      </c>
      <c r="B60" s="92" t="s">
        <v>736</v>
      </c>
      <c r="C60" s="90" t="s">
        <v>141</v>
      </c>
      <c r="D60" s="365">
        <f>SUM(D61:D65)</f>
        <v>0</v>
      </c>
      <c r="E60" s="369">
        <f>SUM(E61:E65)</f>
        <v>0</v>
      </c>
      <c r="G60" s="590">
        <f t="shared" si="0"/>
        <v>0</v>
      </c>
    </row>
    <row r="61" spans="1:7" x14ac:dyDescent="0.25">
      <c r="A61" s="61" t="s">
        <v>737</v>
      </c>
      <c r="B61" s="93">
        <v>652</v>
      </c>
      <c r="C61" s="90" t="s">
        <v>144</v>
      </c>
      <c r="D61" s="367"/>
      <c r="E61" s="368"/>
      <c r="G61" s="590">
        <f t="shared" si="0"/>
        <v>0</v>
      </c>
    </row>
    <row r="62" spans="1:7" x14ac:dyDescent="0.25">
      <c r="A62" s="61" t="s">
        <v>738</v>
      </c>
      <c r="B62" s="93">
        <v>653</v>
      </c>
      <c r="C62" s="90" t="s">
        <v>146</v>
      </c>
      <c r="D62" s="367"/>
      <c r="E62" s="368"/>
      <c r="G62" s="590">
        <f t="shared" si="0"/>
        <v>0</v>
      </c>
    </row>
    <row r="63" spans="1:7" x14ac:dyDescent="0.25">
      <c r="A63" s="61" t="s">
        <v>739</v>
      </c>
      <c r="B63" s="93">
        <v>654</v>
      </c>
      <c r="C63" s="90" t="s">
        <v>149</v>
      </c>
      <c r="D63" s="367"/>
      <c r="E63" s="368"/>
      <c r="G63" s="590">
        <f t="shared" si="0"/>
        <v>0</v>
      </c>
    </row>
    <row r="64" spans="1:7" x14ac:dyDescent="0.25">
      <c r="A64" s="61" t="s">
        <v>740</v>
      </c>
      <c r="B64" s="93">
        <v>655</v>
      </c>
      <c r="C64" s="90" t="s">
        <v>152</v>
      </c>
      <c r="D64" s="367"/>
      <c r="E64" s="368"/>
      <c r="G64" s="590">
        <f t="shared" si="0"/>
        <v>0</v>
      </c>
    </row>
    <row r="65" spans="1:7" x14ac:dyDescent="0.25">
      <c r="A65" s="61" t="s">
        <v>741</v>
      </c>
      <c r="B65" s="93">
        <v>657</v>
      </c>
      <c r="C65" s="90" t="s">
        <v>154</v>
      </c>
      <c r="D65" s="367"/>
      <c r="E65" s="368"/>
      <c r="G65" s="590">
        <f t="shared" si="0"/>
        <v>0</v>
      </c>
    </row>
    <row r="66" spans="1:7" ht="15" customHeight="1" thickBot="1" x14ac:dyDescent="0.3">
      <c r="A66" s="100" t="s">
        <v>338</v>
      </c>
      <c r="B66" s="91" t="s">
        <v>742</v>
      </c>
      <c r="C66" s="96" t="s">
        <v>157</v>
      </c>
      <c r="D66" s="412">
        <f>SUM(D46,D48,D52:D53,D60)</f>
        <v>380.21375999999998</v>
      </c>
      <c r="E66" s="413">
        <f>SUM(E46,E48,E52:E53,E60)</f>
        <v>31209.871020000002</v>
      </c>
      <c r="G66" s="590">
        <f t="shared" si="0"/>
        <v>31590.084780000001</v>
      </c>
    </row>
    <row r="67" spans="1:7" x14ac:dyDescent="0.25">
      <c r="A67" s="58" t="s">
        <v>339</v>
      </c>
      <c r="B67" s="92" t="s">
        <v>755</v>
      </c>
      <c r="C67" s="88" t="s">
        <v>160</v>
      </c>
      <c r="D67" s="414">
        <f>D66-D44+D42</f>
        <v>-2418.5338900000002</v>
      </c>
      <c r="E67" s="415">
        <f>E66-E44+E42</f>
        <v>15710.726170000004</v>
      </c>
      <c r="G67" s="590">
        <f t="shared" si="0"/>
        <v>13292.192280000003</v>
      </c>
    </row>
    <row r="68" spans="1:7" x14ac:dyDescent="0.25">
      <c r="A68" s="97" t="s">
        <v>340</v>
      </c>
      <c r="B68" s="92" t="s">
        <v>754</v>
      </c>
      <c r="C68" s="90" t="s">
        <v>163</v>
      </c>
      <c r="D68" s="416">
        <f>D66-D44</f>
        <v>-2418.5338900000002</v>
      </c>
      <c r="E68" s="417">
        <f>E66-E44</f>
        <v>15710.726170000004</v>
      </c>
      <c r="G68" s="590">
        <f t="shared" si="0"/>
        <v>13292.192280000003</v>
      </c>
    </row>
    <row r="69" spans="1:7" x14ac:dyDescent="0.25">
      <c r="A69" s="58"/>
      <c r="B69" s="98"/>
      <c r="C69" s="90"/>
      <c r="D69" s="1326" t="s">
        <v>757</v>
      </c>
      <c r="E69" s="1327"/>
    </row>
    <row r="70" spans="1:7" x14ac:dyDescent="0.25">
      <c r="A70" s="58" t="s">
        <v>743</v>
      </c>
      <c r="B70" s="99" t="s">
        <v>744</v>
      </c>
      <c r="C70" s="90" t="s">
        <v>166</v>
      </c>
      <c r="D70" s="1328">
        <f>+D67+E67</f>
        <v>13292.192280000003</v>
      </c>
      <c r="E70" s="1329"/>
      <c r="G70" s="590">
        <f>G67</f>
        <v>13292.192280000003</v>
      </c>
    </row>
    <row r="71" spans="1:7" ht="13.5" thickBot="1" x14ac:dyDescent="0.3">
      <c r="A71" s="100" t="s">
        <v>745</v>
      </c>
      <c r="B71" s="74" t="s">
        <v>746</v>
      </c>
      <c r="C71" s="96" t="s">
        <v>168</v>
      </c>
      <c r="D71" s="1330">
        <f>+D68+E68</f>
        <v>13292.192280000003</v>
      </c>
      <c r="E71" s="1331"/>
      <c r="G71" s="590">
        <f>G68</f>
        <v>13292.192280000003</v>
      </c>
    </row>
    <row r="72" spans="1:7" ht="12.75" customHeight="1" x14ac:dyDescent="0.25">
      <c r="A72" s="101"/>
      <c r="B72" s="80"/>
      <c r="C72" s="80"/>
    </row>
    <row r="73" spans="1:7" ht="12.75" customHeight="1" x14ac:dyDescent="0.25">
      <c r="A73" s="76" t="s">
        <v>467</v>
      </c>
      <c r="B73" s="80"/>
      <c r="C73" s="80"/>
    </row>
    <row r="74" spans="1:7" ht="12.75" customHeight="1" x14ac:dyDescent="0.25">
      <c r="A74" s="19" t="s">
        <v>747</v>
      </c>
      <c r="B74" s="80"/>
      <c r="C74" s="80"/>
    </row>
    <row r="75" spans="1:7" x14ac:dyDescent="0.25">
      <c r="A75" s="19" t="s">
        <v>748</v>
      </c>
      <c r="B75" s="81"/>
      <c r="C75" s="81"/>
    </row>
    <row r="76" spans="1:7" x14ac:dyDescent="0.25">
      <c r="A76" s="19" t="s">
        <v>668</v>
      </c>
      <c r="B76" s="81"/>
      <c r="C76" s="81"/>
    </row>
    <row r="77" spans="1:7" x14ac:dyDescent="0.25">
      <c r="A77" s="19" t="s">
        <v>669</v>
      </c>
    </row>
  </sheetData>
  <mergeCells count="9">
    <mergeCell ref="D69:E69"/>
    <mergeCell ref="D70:E70"/>
    <mergeCell ref="D71:E71"/>
    <mergeCell ref="A1:E1"/>
    <mergeCell ref="A2:E2"/>
    <mergeCell ref="A3:E3"/>
    <mergeCell ref="A4:E4"/>
    <mergeCell ref="B6:C6"/>
    <mergeCell ref="A45:E45"/>
  </mergeCells>
  <printOptions horizontalCentered="1" verticalCentered="1"/>
  <pageMargins left="0.70866141732283472" right="0" top="0.19685039370078741" bottom="0.19685039370078741" header="0.51181102362204722" footer="0.51181102362204722"/>
  <pageSetup paperSize="9" scale="72" orientation="portrait"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E3DC2416AF207488892105155DCA88F" ma:contentTypeVersion="13" ma:contentTypeDescription="Vytvoří nový dokument" ma:contentTypeScope="" ma:versionID="812502b940a9c0a5245c347f02adbf7a">
  <xsd:schema xmlns:xsd="http://www.w3.org/2001/XMLSchema" xmlns:xs="http://www.w3.org/2001/XMLSchema" xmlns:p="http://schemas.microsoft.com/office/2006/metadata/properties" xmlns:ns2="77232068-f0e5-400e-a95c-408c4272c45f" xmlns:ns3="462effa1-ad27-4f81-827c-34a1cafa14cc" targetNamespace="http://schemas.microsoft.com/office/2006/metadata/properties" ma:root="true" ma:fieldsID="44aa0ee6a8dd14d0af822cf2af427a6b" ns2:_="" ns3:_="">
    <xsd:import namespace="77232068-f0e5-400e-a95c-408c4272c45f"/>
    <xsd:import namespace="462effa1-ad27-4f81-827c-34a1cafa14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232068-f0e5-400e-a95c-408c4272c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Značky obrázků" ma:readOnly="false" ma:fieldId="{5cf76f15-5ced-4ddc-b409-7134ff3c332f}" ma:taxonomyMulti="true" ma:sspId="ede2c221-80ea-42f2-a6ce-7f19966b5d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2effa1-ad27-4f81-827c-34a1cafa14c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86f6998-1dc3-4b3d-a8de-0192004c3166}" ma:internalName="TaxCatchAll" ma:showField="CatchAllData" ma:web="462effa1-ad27-4f81-827c-34a1cafa14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2effa1-ad27-4f81-827c-34a1cafa14cc" xsi:nil="true"/>
    <lcf76f155ced4ddcb4097134ff3c332f xmlns="77232068-f0e5-400e-a95c-408c4272c4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E363C0-C893-468B-9D79-BD05B6DB160F}"/>
</file>

<file path=customXml/itemProps2.xml><?xml version="1.0" encoding="utf-8"?>
<ds:datastoreItem xmlns:ds="http://schemas.openxmlformats.org/officeDocument/2006/customXml" ds:itemID="{4086B81D-7F03-41B2-AB4A-4328E40EFD99}"/>
</file>

<file path=customXml/itemProps3.xml><?xml version="1.0" encoding="utf-8"?>
<ds:datastoreItem xmlns:ds="http://schemas.openxmlformats.org/officeDocument/2006/customXml" ds:itemID="{A28261B7-BD83-42DF-B758-02BCBC73D4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29</vt:i4>
      </vt:variant>
      <vt:variant>
        <vt:lpstr>Pojmenované oblasti</vt:lpstr>
      </vt:variant>
      <vt:variant>
        <vt:i4>30</vt:i4>
      </vt:variant>
    </vt:vector>
  </HeadingPairs>
  <TitlesOfParts>
    <vt:vector size="59" baseType="lpstr">
      <vt:lpstr>Legenda a varování gestorům</vt:lpstr>
      <vt:lpstr>1</vt:lpstr>
      <vt:lpstr>2</vt:lpstr>
      <vt:lpstr>2a</vt:lpstr>
      <vt:lpstr>2b</vt:lpstr>
      <vt:lpstr>2b1_43</vt:lpstr>
      <vt:lpstr>2b2_08</vt:lpstr>
      <vt:lpstr>2b3_16</vt:lpstr>
      <vt:lpstr>2b4_31</vt:lpstr>
      <vt:lpstr>3</vt:lpstr>
      <vt:lpstr>5 </vt:lpstr>
      <vt:lpstr>5.a</vt:lpstr>
      <vt:lpstr>5.b</vt:lpstr>
      <vt:lpstr>5.c</vt:lpstr>
      <vt:lpstr>5.d</vt:lpstr>
      <vt:lpstr>6</vt:lpstr>
      <vt:lpstr>7</vt:lpstr>
      <vt:lpstr>8</vt:lpstr>
      <vt:lpstr>9</vt:lpstr>
      <vt:lpstr>10</vt:lpstr>
      <vt:lpstr>11</vt:lpstr>
      <vt:lpstr>11.a</vt:lpstr>
      <vt:lpstr>11.b</vt:lpstr>
      <vt:lpstr>11.c</vt:lpstr>
      <vt:lpstr>11.d</vt:lpstr>
      <vt:lpstr>11.e</vt:lpstr>
      <vt:lpstr>11.f</vt:lpstr>
      <vt:lpstr>11.g</vt:lpstr>
      <vt:lpstr>Přehled majetku a jeho vývoj</vt:lpstr>
      <vt:lpstr>'1'!Názvy_tisku</vt:lpstr>
      <vt:lpstr>'5 '!Názvy_tisku</vt:lpstr>
      <vt:lpstr>'1'!Oblast_tisku</vt:lpstr>
      <vt:lpstr>'10'!Oblast_tisku</vt:lpstr>
      <vt:lpstr>'11'!Oblast_tisku</vt:lpstr>
      <vt:lpstr>'11.a'!Oblast_tisku</vt:lpstr>
      <vt:lpstr>'11.b'!Oblast_tisku</vt:lpstr>
      <vt:lpstr>'11.c'!Oblast_tisku</vt:lpstr>
      <vt:lpstr>'11.d'!Oblast_tisku</vt:lpstr>
      <vt:lpstr>'11.e'!Oblast_tisku</vt:lpstr>
      <vt:lpstr>'11.f'!Oblast_tisku</vt:lpstr>
      <vt:lpstr>'11.g'!Oblast_tisku</vt:lpstr>
      <vt:lpstr>'2'!Oblast_tisku</vt:lpstr>
      <vt:lpstr>'2a'!Oblast_tisku</vt:lpstr>
      <vt:lpstr>'2b'!Oblast_tisku</vt:lpstr>
      <vt:lpstr>'2b1_43'!Oblast_tisku</vt:lpstr>
      <vt:lpstr>'2b2_08'!Oblast_tisku</vt:lpstr>
      <vt:lpstr>'2b3_16'!Oblast_tisku</vt:lpstr>
      <vt:lpstr>'2b4_31'!Oblast_tisku</vt:lpstr>
      <vt:lpstr>'3'!Oblast_tisku</vt:lpstr>
      <vt:lpstr>'5 '!Oblast_tisku</vt:lpstr>
      <vt:lpstr>'5.a'!Oblast_tisku</vt:lpstr>
      <vt:lpstr>'5.b'!Oblast_tisku</vt:lpstr>
      <vt:lpstr>'5.c'!Oblast_tisku</vt:lpstr>
      <vt:lpstr>'5.d'!Oblast_tisku</vt:lpstr>
      <vt:lpstr>'6'!Oblast_tisku</vt:lpstr>
      <vt:lpstr>'7'!Oblast_tisku</vt:lpstr>
      <vt:lpstr>'8'!Oblast_tisku</vt:lpstr>
      <vt:lpstr>'9'!Oblast_tisku</vt:lpstr>
      <vt:lpstr>'Přehled majetku a jeho vývoj'!Oblast_tisku</vt:lpstr>
    </vt:vector>
  </TitlesOfParts>
  <Company>Ministerstvo školství, mládeže a tělovýchovy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machackova</dc:creator>
  <cp:lastModifiedBy>Libor Hochmann</cp:lastModifiedBy>
  <cp:lastPrinted>2025-06-10T08:18:38Z</cp:lastPrinted>
  <dcterms:created xsi:type="dcterms:W3CDTF">2010-10-08T09:48:15Z</dcterms:created>
  <dcterms:modified xsi:type="dcterms:W3CDTF">2025-06-10T08:19:45Z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0x010100FE3DC2416AF207488892105155DCA88F</vt:lpwstr>
  </property>
  <property fmtid="{D5CDD505-2E9C-101B-9397-08002B2CF9AE}" pid="3" name="Order">
    <vt:r8>292000</vt:r8>
  </property>
  <property fmtid="{D5CDD505-2E9C-101B-9397-08002B2CF9AE}" pid="4" name="xd_ProgID">
    <vt:lpwstr/>
  </property>
  <property fmtid="{D5CDD505-2E9C-101B-9397-08002B2CF9AE}" pid="5" name="MediaServiceImageTags">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ies>
</file>