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65524" windowWidth="5976" windowHeight="6180" tabRatio="601" firstSheet="6" activeTab="8"/>
  </bookViews>
  <sheets>
    <sheet name="Koeficienty" sheetId="1" r:id="rId1"/>
    <sheet name="Pražské koleje" sheetId="2" r:id="rId2"/>
    <sheet name="Jednota" sheetId="3" r:id="rId3"/>
    <sheet name="Petrská" sheetId="4" r:id="rId4"/>
    <sheet name="Arnošt" sheetId="5" r:id="rId5"/>
    <sheet name="Budeč" sheetId="6" r:id="rId6"/>
    <sheet name="Švehlova" sheetId="7" r:id="rId7"/>
    <sheet name="Větrník" sheetId="8" r:id="rId8"/>
    <sheet name="Hvězda" sheetId="9" r:id="rId9"/>
    <sheet name="Kajetánka" sheetId="10" r:id="rId10"/>
    <sheet name="Komenského" sheetId="11" r:id="rId11"/>
    <sheet name="Olbracht" sheetId="12" r:id="rId12"/>
    <sheet name="Nová Kolej" sheetId="13" r:id="rId13"/>
    <sheet name="17. listopad" sheetId="14" r:id="rId14"/>
    <sheet name="Otava+Vltava" sheetId="15" r:id="rId15"/>
    <sheet name="Hostivař" sheetId="16" r:id="rId16"/>
    <sheet name="Plzeňské koleje" sheetId="17" r:id="rId17"/>
    <sheet name="Bolevecká" sheetId="18" r:id="rId18"/>
    <sheet name="Heyrovského" sheetId="19" r:id="rId19"/>
    <sheet name="Šafránkův pav." sheetId="20" r:id="rId20"/>
    <sheet name="Hradecké koleje" sheetId="21" r:id="rId21"/>
    <sheet name="Na Kotli" sheetId="22" r:id="rId22"/>
    <sheet name="Palachova" sheetId="23" r:id="rId23"/>
  </sheets>
  <definedNames>
    <definedName name="_xlnm.Print_Titles" localSheetId="20">'Hradecké koleje'!$1:$2</definedName>
    <definedName name="_xlnm.Print_Titles" localSheetId="16">'Plzeňské koleje'!$1:$2</definedName>
    <definedName name="_xlnm.Print_Titles" localSheetId="1">'Pražské koleje'!$1:$2</definedName>
    <definedName name="_xlnm.Print_Area" localSheetId="20">'Hradecké koleje'!$A$1:$G$9</definedName>
    <definedName name="_xlnm.Print_Area" localSheetId="16">'Plzeňské koleje'!$A$1:$F$16</definedName>
    <definedName name="_xlnm.Print_Area" localSheetId="1">'Pražské koleje'!$A$1:$R$3</definedName>
  </definedNames>
  <calcPr fullCalcOnLoad="1"/>
</workbook>
</file>

<file path=xl/sharedStrings.xml><?xml version="1.0" encoding="utf-8"?>
<sst xmlns="http://schemas.openxmlformats.org/spreadsheetml/2006/main" count="557" uniqueCount="99">
  <si>
    <t>Počet pokojů</t>
  </si>
  <si>
    <t>kolej  Jednota</t>
  </si>
  <si>
    <t>Výpočet:</t>
  </si>
  <si>
    <t>Celkem lůžek</t>
  </si>
  <si>
    <t>Prům.cena</t>
  </si>
  <si>
    <t>Celkové suma kolejného</t>
  </si>
  <si>
    <t>Koeficient</t>
  </si>
  <si>
    <t>Počet lůžek</t>
  </si>
  <si>
    <t>Kontrola výpočtu</t>
  </si>
  <si>
    <t>Jednota</t>
  </si>
  <si>
    <t>Petrská</t>
  </si>
  <si>
    <t>Arnošt</t>
  </si>
  <si>
    <t>Budeč</t>
  </si>
  <si>
    <t>Švehlova</t>
  </si>
  <si>
    <t>Větrník</t>
  </si>
  <si>
    <t>Hvězda</t>
  </si>
  <si>
    <t>Kajetánka</t>
  </si>
  <si>
    <t>Komenského</t>
  </si>
  <si>
    <t>Olbracht</t>
  </si>
  <si>
    <t>Nová</t>
  </si>
  <si>
    <t>Houšťka</t>
  </si>
  <si>
    <t>17.listopad</t>
  </si>
  <si>
    <t>Otava + Vltava</t>
  </si>
  <si>
    <t>Hostivař</t>
  </si>
  <si>
    <t xml:space="preserve">Pražské koleje celkem </t>
  </si>
  <si>
    <t>Ukazatel</t>
  </si>
  <si>
    <t>Druh pokoje</t>
  </si>
  <si>
    <t>Výpočet ceny za 1 lůžkoden bez DPH v Kč</t>
  </si>
  <si>
    <t>Výpočet ceny za 1 měsíc    bez DPH v Kč</t>
  </si>
  <si>
    <t>Cena za            1 lůžkoden       bez DPH v Kč   "Pražské koleje"</t>
  </si>
  <si>
    <t>Cena za           1 měsíc         bez DPH v Kč  "Pražské koleje"</t>
  </si>
  <si>
    <t>kolej  Arnošta z Pardubic</t>
  </si>
  <si>
    <t>kolej  Petrská</t>
  </si>
  <si>
    <t>kolej  Budeč</t>
  </si>
  <si>
    <t>kolej  Švehlova</t>
  </si>
  <si>
    <t>kolej  Větrník</t>
  </si>
  <si>
    <t>kolej  Hvězda</t>
  </si>
  <si>
    <t>kolej  Komenského</t>
  </si>
  <si>
    <t>kolej  Kajetánka</t>
  </si>
  <si>
    <t>kolej  I.Olbrachta</t>
  </si>
  <si>
    <t>Nová Kolej</t>
  </si>
  <si>
    <t>kolej  17. listopadu</t>
  </si>
  <si>
    <t>kolej  Hostivař</t>
  </si>
  <si>
    <t>Bolevecká</t>
  </si>
  <si>
    <t>Heyrovského</t>
  </si>
  <si>
    <t>Šafr. pavilon</t>
  </si>
  <si>
    <t>Plzeňské koleje celkem</t>
  </si>
  <si>
    <t>Na Kotli</t>
  </si>
  <si>
    <t>Palachova</t>
  </si>
  <si>
    <t>Garni DČ</t>
  </si>
  <si>
    <t>Hradecké koleje celkem</t>
  </si>
  <si>
    <t>kolej  Palachova</t>
  </si>
  <si>
    <t>kolej  Na Kotli</t>
  </si>
  <si>
    <t>kolej  Bolevecká</t>
  </si>
  <si>
    <t>kolej  Heyrovského</t>
  </si>
  <si>
    <t>kolej  Šafránkův pavilon</t>
  </si>
  <si>
    <t xml:space="preserve">  1  lůžkový</t>
  </si>
  <si>
    <t xml:space="preserve">  2  lůžkový</t>
  </si>
  <si>
    <t xml:space="preserve">  3  lůžkový</t>
  </si>
  <si>
    <t xml:space="preserve">  4  lůžkový</t>
  </si>
  <si>
    <t xml:space="preserve">  5  lůžkový</t>
  </si>
  <si>
    <t xml:space="preserve">  1  lůžkový se soc.zař.</t>
  </si>
  <si>
    <t xml:space="preserve">  2  lůžkový se soc.zař.</t>
  </si>
  <si>
    <t xml:space="preserve">  3  lůžkový se soc.zař.</t>
  </si>
  <si>
    <t xml:space="preserve">  4  lůžkový se soc.zař.</t>
  </si>
  <si>
    <t xml:space="preserve">  5  lůžkový se soc.zař.</t>
  </si>
  <si>
    <t>Výpočet ceny za 1 lůžkoden vč. DPH v Kč</t>
  </si>
  <si>
    <t>Výpočet ceny za 1 měsíc    vč. DPH v Kč</t>
  </si>
  <si>
    <t>Cena za            1 lůžkoden       bez DPH v Kč   "Hradecké koleje"</t>
  </si>
  <si>
    <t>Cena za           1 měsíc         bez DPH v Kč  "Hradecké koleje"</t>
  </si>
  <si>
    <t>Cena za            1 lůžkoden       bez DPH v Kč   "Plzeňské koleje"</t>
  </si>
  <si>
    <t>Cena za           1 měsíc         bez DPH v Kč  "Plzeňské koleje"</t>
  </si>
  <si>
    <t>Pozn: Výpočet v násl. tabulkách je proveden dle hodnot v oranž. polích</t>
  </si>
  <si>
    <t xml:space="preserve">  Pokoj se sociálním zař.</t>
  </si>
  <si>
    <t xml:space="preserve">  vč.společného pro buňku</t>
  </si>
  <si>
    <t xml:space="preserve">  Koeficient pro  pokoje s novým vybavením</t>
  </si>
  <si>
    <t xml:space="preserve">  Koeficient pro  DPH</t>
  </si>
  <si>
    <t xml:space="preserve">  1  lůžkový                     - nadstandard</t>
  </si>
  <si>
    <t xml:space="preserve">  1  lůžkový se soc.zař.  - nadstandard</t>
  </si>
  <si>
    <t xml:space="preserve">  2  lůžkový                     - nadstandard</t>
  </si>
  <si>
    <t xml:space="preserve">  2  lůžkový se soc.zař.  - nadstandard</t>
  </si>
  <si>
    <t xml:space="preserve">  3  lůžkový                     - nadstandard</t>
  </si>
  <si>
    <t xml:space="preserve">  3  lůžkový se soc.zař.  - nadstandard</t>
  </si>
  <si>
    <t xml:space="preserve">  4  lůžkový                     - nadstandard</t>
  </si>
  <si>
    <t xml:space="preserve">  4  lůžkový se soc.zař.  - nadstandard</t>
  </si>
  <si>
    <t xml:space="preserve">  2  lůžkový se soc.zař. (vč.manželských)</t>
  </si>
  <si>
    <t xml:space="preserve">  4  lůžkový se soc.zař. (manželské)</t>
  </si>
  <si>
    <t xml:space="preserve">Koeficient  pro odlišení cen mezi pokoji </t>
  </si>
  <si>
    <t>Základní standardní cena</t>
  </si>
  <si>
    <t>1. Využívá-li student(ka) se svým dítětem a manželem (manželkou) nebo partnerem (partnerkou) celou buňku, činí celková úhrada čtyřnásobek výše uvedené ceny.</t>
  </si>
  <si>
    <t xml:space="preserve">2. Využívá-li student(ka) se svým dítětem a manželem (manželkou) nebo partnerem (partnerkou) pouze polovinu buňky, činí celková úhrada standardní cenu za dvě lůžka na dvoulůžkovém pokoji se sociálním zařízením. </t>
  </si>
  <si>
    <t xml:space="preserve">3. Využívá-li student(ka) se svým dítětem pouze polovinu buňky, činí celková úhrada standardní cenu za jedno lůžko na dvoulůžkovém pokoji se sociálním zařízením navýšenou o cenu za ubytování dítěte, která se stanoví ve výši 21,53 Kč bez DPH za jeden lůžkoden. </t>
  </si>
  <si>
    <t>Pozn:</t>
  </si>
  <si>
    <t>Pražské koleje</t>
  </si>
  <si>
    <t>Základní standardní cena (Kč):</t>
  </si>
  <si>
    <t>-</t>
  </si>
  <si>
    <t>Plzeňské koleje</t>
  </si>
  <si>
    <t>Hradecké koleje</t>
  </si>
  <si>
    <t>kolej  Otava            kolej Vltava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</si>
</sst>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#,##0.0_ ;[Red]\-#,##0.0\ "/>
    <numFmt numFmtId="168" formatCode="#,##0.00000000_ ;[Red]\-#,##0.00000000\ "/>
    <numFmt numFmtId="169" formatCode="#,##0.000000_ ;[Red]\-#,##0.000000\ "/>
    <numFmt numFmtId="170" formatCode="#,##0.0000000_ ;[Red]\-#,##0.0000000\ "/>
    <numFmt numFmtId="171" formatCode="##,##0"/>
    <numFmt numFmtId="172" formatCode="##,###"/>
    <numFmt numFmtId="173" formatCode="[&lt;=9999999]###\ ##\ ##;##\ ##\ ##\ ##"/>
    <numFmt numFmtId="174" formatCode="[&lt;=99999]###\ ##;##\ ##\ ##"/>
    <numFmt numFmtId="175" formatCode="[&lt;=999999]###\ ##;##\ ##\ ##"/>
    <numFmt numFmtId="176" formatCode="[&lt;=999999999]###\ ##;##\ ##\ ##"/>
    <numFmt numFmtId="177" formatCode="[&lt;=99999]####\####\ ##\ ##;General"/>
    <numFmt numFmtId="178" formatCode="[&lt;=99999]####\ #####\ ####;General"/>
    <numFmt numFmtId="179" formatCode="[&lt;=99999]####\ #####\ \ ####;General"/>
    <numFmt numFmtId="180" formatCode="#,##0.0"/>
    <numFmt numFmtId="181" formatCode="#,##0.000_ ;[Red]\-#,##0.000\ "/>
    <numFmt numFmtId="182" formatCode="#,##0.000000000_ ;[Red]\-#,##0.000000000\ "/>
    <numFmt numFmtId="183" formatCode="#,##0.0000000000_ ;[Red]\-#,##0.0000000000\ "/>
    <numFmt numFmtId="184" formatCode="0.0000000"/>
    <numFmt numFmtId="185" formatCode="#,##0.00000_ ;[Red]\-#,##0.00000\ "/>
    <numFmt numFmtId="186" formatCode="#,##0.00000000000_ ;[Red]\-#,##0.00000000000\ "/>
    <numFmt numFmtId="187" formatCode="0.000000"/>
    <numFmt numFmtId="188" formatCode="0.00000"/>
    <numFmt numFmtId="189" formatCode="0.0000"/>
    <numFmt numFmtId="190" formatCode="0.000"/>
    <numFmt numFmtId="191" formatCode="#,##0.0000_ ;[Red]\-#,##0.0000\ "/>
    <numFmt numFmtId="192" formatCode="0.0"/>
    <numFmt numFmtId="193" formatCode="#,##0.000"/>
    <numFmt numFmtId="194" formatCode="#,##0.0000"/>
    <numFmt numFmtId="195" formatCode="#,##0.00000"/>
    <numFmt numFmtId="196" formatCode="#,##0.0\ _K_č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6" fontId="2" fillId="2" borderId="2" xfId="0" applyNumberFormat="1" applyFont="1" applyFill="1" applyBorder="1" applyAlignment="1">
      <alignment vertical="center"/>
    </xf>
    <xf numFmtId="16" fontId="2" fillId="2" borderId="3" xfId="0" applyNumberFormat="1" applyFont="1" applyFill="1" applyBorder="1" applyAlignment="1">
      <alignment vertical="center"/>
    </xf>
    <xf numFmtId="16" fontId="1" fillId="0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5" xfId="0" applyBorder="1" applyAlignment="1">
      <alignment/>
    </xf>
    <xf numFmtId="16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0" fillId="0" borderId="5" xfId="0" applyBorder="1" applyAlignment="1">
      <alignment horizontal="left"/>
    </xf>
    <xf numFmtId="164" fontId="1" fillId="2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1" fillId="0" borderId="5" xfId="0" applyFont="1" applyBorder="1" applyAlignment="1">
      <alignment/>
    </xf>
    <xf numFmtId="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16" fontId="1" fillId="0" borderId="3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16" fontId="2" fillId="2" borderId="2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8" fillId="0" borderId="4" xfId="0" applyNumberFormat="1" applyFont="1" applyBorder="1" applyAlignment="1">
      <alignment horizontal="center" wrapText="1"/>
    </xf>
    <xf numFmtId="0" fontId="0" fillId="4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9" fontId="0" fillId="4" borderId="6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7" fillId="0" borderId="1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left"/>
      <protection/>
    </xf>
    <xf numFmtId="4" fontId="6" fillId="0" borderId="13" xfId="20" applyNumberFormat="1" applyFont="1" applyBorder="1">
      <alignment/>
      <protection/>
    </xf>
    <xf numFmtId="4" fontId="6" fillId="0" borderId="14" xfId="20" applyNumberFormat="1" applyFont="1" applyBorder="1">
      <alignment/>
      <protection/>
    </xf>
    <xf numFmtId="4" fontId="6" fillId="0" borderId="13" xfId="20" applyNumberFormat="1" applyFont="1" applyBorder="1" applyAlignment="1">
      <alignment horizontal="center"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2" xfId="20" applyFont="1" applyBorder="1">
      <alignment/>
      <protection/>
    </xf>
    <xf numFmtId="0" fontId="6" fillId="0" borderId="15" xfId="20" applyFont="1" applyBorder="1">
      <alignment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7" fillId="2" borderId="16" xfId="20" applyFont="1" applyFill="1" applyBorder="1" applyAlignment="1">
      <alignment horizontal="center" vertical="center" textRotation="90" wrapText="1"/>
      <protection/>
    </xf>
    <xf numFmtId="0" fontId="3" fillId="2" borderId="1" xfId="20" applyFill="1" applyBorder="1" applyAlignment="1">
      <alignment horizontal="center" vertical="center" textRotation="90" wrapText="1"/>
      <protection/>
    </xf>
    <xf numFmtId="0" fontId="7" fillId="3" borderId="16" xfId="20" applyFont="1" applyFill="1" applyBorder="1" applyAlignment="1">
      <alignment horizontal="center" vertical="center" textRotation="90" wrapText="1"/>
      <protection/>
    </xf>
    <xf numFmtId="0" fontId="3" fillId="3" borderId="1" xfId="20" applyFill="1" applyBorder="1" applyAlignment="1">
      <alignment horizontal="center" vertical="center" textRotation="90" wrapText="1"/>
      <protection/>
    </xf>
    <xf numFmtId="0" fontId="7" fillId="4" borderId="17" xfId="20" applyFont="1" applyFill="1" applyBorder="1" applyAlignment="1">
      <alignment horizontal="center" vertical="center" textRotation="90" wrapText="1"/>
      <protection/>
    </xf>
    <xf numFmtId="0" fontId="3" fillId="4" borderId="18" xfId="20" applyFill="1" applyBorder="1" applyAlignment="1">
      <alignment horizontal="center" vertical="center" textRotation="90" wrapText="1"/>
      <protection/>
    </xf>
    <xf numFmtId="0" fontId="11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aM 04_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234"/>
  <sheetViews>
    <sheetView workbookViewId="0" topLeftCell="A1">
      <selection activeCell="D34" sqref="D34"/>
    </sheetView>
  </sheetViews>
  <sheetFormatPr defaultColWidth="9.140625" defaultRowHeight="12.75"/>
  <cols>
    <col min="1" max="1" width="40.00390625" style="8" customWidth="1"/>
    <col min="2" max="2" width="24.00390625" style="0" customWidth="1"/>
  </cols>
  <sheetData>
    <row r="1" spans="1:2" ht="74.25" customHeight="1">
      <c r="A1" s="45" t="s">
        <v>26</v>
      </c>
      <c r="B1" s="53" t="s">
        <v>87</v>
      </c>
    </row>
    <row r="2" spans="1:2" ht="12.75">
      <c r="A2" s="28" t="s">
        <v>56</v>
      </c>
      <c r="B2" s="54">
        <v>1.25</v>
      </c>
    </row>
    <row r="3" spans="1:2" ht="12.75" hidden="1">
      <c r="A3" s="28" t="s">
        <v>77</v>
      </c>
      <c r="B3" s="24">
        <f>B2*B23</f>
        <v>1.3125</v>
      </c>
    </row>
    <row r="4" spans="1:2" ht="12.75">
      <c r="A4" s="28" t="s">
        <v>61</v>
      </c>
      <c r="B4" s="55">
        <f>B2*B21</f>
        <v>1.4375</v>
      </c>
    </row>
    <row r="5" spans="1:2" ht="12.75" hidden="1">
      <c r="A5" s="28" t="s">
        <v>78</v>
      </c>
      <c r="B5" s="55">
        <f>B4*B23</f>
        <v>1.5093750000000001</v>
      </c>
    </row>
    <row r="6" spans="1:2" ht="12.75">
      <c r="A6" s="28" t="s">
        <v>57</v>
      </c>
      <c r="B6" s="54">
        <v>1</v>
      </c>
    </row>
    <row r="7" spans="1:2" ht="12.75" hidden="1">
      <c r="A7" s="28" t="s">
        <v>79</v>
      </c>
      <c r="B7" s="24">
        <f>B6*B23</f>
        <v>1.05</v>
      </c>
    </row>
    <row r="8" spans="1:2" ht="12.75">
      <c r="A8" s="28" t="s">
        <v>62</v>
      </c>
      <c r="B8" s="55">
        <f>B6*B21</f>
        <v>1.15</v>
      </c>
    </row>
    <row r="9" spans="1:2" ht="12.75" hidden="1">
      <c r="A9" s="28" t="s">
        <v>80</v>
      </c>
      <c r="B9" s="55">
        <f>B8*B23</f>
        <v>1.2075</v>
      </c>
    </row>
    <row r="10" spans="1:2" ht="12.75">
      <c r="A10" s="28" t="s">
        <v>58</v>
      </c>
      <c r="B10" s="54">
        <v>0.8</v>
      </c>
    </row>
    <row r="11" spans="1:2" ht="12.75" hidden="1">
      <c r="A11" s="28" t="s">
        <v>81</v>
      </c>
      <c r="B11" s="24">
        <f>B10*B23</f>
        <v>0.8400000000000001</v>
      </c>
    </row>
    <row r="12" spans="1:2" ht="12.75">
      <c r="A12" s="28" t="s">
        <v>63</v>
      </c>
      <c r="B12" s="55">
        <f>B10*B21</f>
        <v>0.9199999999999999</v>
      </c>
    </row>
    <row r="13" spans="1:2" ht="12.75" hidden="1">
      <c r="A13" s="28" t="s">
        <v>82</v>
      </c>
      <c r="B13" s="55">
        <f>B12*B23</f>
        <v>0.966</v>
      </c>
    </row>
    <row r="14" spans="1:2" ht="12.75">
      <c r="A14" s="28" t="s">
        <v>59</v>
      </c>
      <c r="B14" s="54">
        <v>0.7</v>
      </c>
    </row>
    <row r="15" spans="1:2" ht="12.75" hidden="1">
      <c r="A15" s="28" t="s">
        <v>83</v>
      </c>
      <c r="B15" s="24">
        <f>B14*B23</f>
        <v>0.735</v>
      </c>
    </row>
    <row r="16" spans="1:2" ht="12.75">
      <c r="A16" s="28" t="s">
        <v>64</v>
      </c>
      <c r="B16" s="55">
        <f>B14*B21</f>
        <v>0.8049999999999999</v>
      </c>
    </row>
    <row r="17" spans="1:2" ht="12.75" hidden="1">
      <c r="A17" s="28" t="s">
        <v>84</v>
      </c>
      <c r="B17" s="55">
        <f>B16*B23</f>
        <v>0.84525</v>
      </c>
    </row>
    <row r="18" spans="1:2" ht="12.75">
      <c r="A18" s="28" t="s">
        <v>60</v>
      </c>
      <c r="B18" s="54">
        <v>0.6</v>
      </c>
    </row>
    <row r="19" spans="1:2" ht="12.75">
      <c r="A19" s="28" t="s">
        <v>65</v>
      </c>
      <c r="B19" s="24">
        <f>B18*B21</f>
        <v>0.69</v>
      </c>
    </row>
    <row r="20" spans="1:2" ht="12.75">
      <c r="A20" s="46"/>
      <c r="B20" s="24"/>
    </row>
    <row r="21" spans="1:5" ht="12.75">
      <c r="A21" s="46" t="s">
        <v>73</v>
      </c>
      <c r="B21" s="54">
        <v>1.15</v>
      </c>
      <c r="E21" s="5"/>
    </row>
    <row r="22" spans="1:2" ht="12.75">
      <c r="A22" s="46" t="s">
        <v>74</v>
      </c>
      <c r="B22" s="24"/>
    </row>
    <row r="23" spans="1:2" ht="12.75" hidden="1">
      <c r="A23" s="46" t="s">
        <v>75</v>
      </c>
      <c r="B23" s="54">
        <v>1.05</v>
      </c>
    </row>
    <row r="24" spans="1:2" ht="12.75">
      <c r="A24" s="47"/>
      <c r="B24" s="24"/>
    </row>
    <row r="25" spans="1:2" ht="12.75">
      <c r="A25" s="46" t="s">
        <v>76</v>
      </c>
      <c r="B25" s="56">
        <v>1.05</v>
      </c>
    </row>
    <row r="26" spans="1:2" ht="12.75">
      <c r="A26" s="48"/>
      <c r="B26" s="49"/>
    </row>
    <row r="28" spans="1:18" ht="12.75">
      <c r="A28" s="8" t="s">
        <v>72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30" ht="12.75">
      <c r="A30" s="50"/>
    </row>
    <row r="32" ht="12.75">
      <c r="B32" s="51"/>
    </row>
    <row r="33" ht="12.75">
      <c r="B33" s="51"/>
    </row>
    <row r="34" ht="12.75">
      <c r="B34" s="51"/>
    </row>
    <row r="35" ht="12.75">
      <c r="B35" s="51"/>
    </row>
    <row r="36" ht="12.75">
      <c r="B36" s="51"/>
    </row>
    <row r="37" ht="12.75">
      <c r="B37" s="52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spans="1:2" ht="51" customHeight="1">
      <c r="A42" s="57"/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  <row r="119" ht="12.75">
      <c r="B119" s="51"/>
    </row>
    <row r="120" ht="12.75">
      <c r="B120" s="51"/>
    </row>
    <row r="121" ht="12.75">
      <c r="B121" s="51"/>
    </row>
    <row r="122" ht="12.75">
      <c r="B122" s="51"/>
    </row>
    <row r="123" ht="12.75">
      <c r="B123" s="51"/>
    </row>
    <row r="124" ht="12.75">
      <c r="B124" s="51"/>
    </row>
    <row r="125" ht="12.75">
      <c r="B125" s="51"/>
    </row>
    <row r="126" ht="12.75">
      <c r="B126" s="51"/>
    </row>
    <row r="127" ht="12.75">
      <c r="B127" s="51"/>
    </row>
    <row r="128" ht="12.75">
      <c r="B128" s="51"/>
    </row>
    <row r="129" ht="12.75">
      <c r="B129" s="51"/>
    </row>
    <row r="130" ht="12.75">
      <c r="B130" s="51"/>
    </row>
    <row r="131" ht="12.75">
      <c r="B131" s="51"/>
    </row>
    <row r="132" ht="12.75">
      <c r="B132" s="51"/>
    </row>
    <row r="133" ht="12.75">
      <c r="B133" s="51"/>
    </row>
    <row r="134" ht="12.75">
      <c r="B134" s="51"/>
    </row>
    <row r="135" ht="12.75">
      <c r="B135" s="51"/>
    </row>
    <row r="136" ht="12.75">
      <c r="B136" s="51"/>
    </row>
    <row r="137" ht="12.75">
      <c r="B137" s="51"/>
    </row>
    <row r="138" ht="12.75">
      <c r="B138" s="51"/>
    </row>
    <row r="139" ht="12.75">
      <c r="B139" s="51"/>
    </row>
    <row r="140" ht="12.75">
      <c r="B140" s="51"/>
    </row>
    <row r="141" ht="12.75">
      <c r="B141" s="51"/>
    </row>
    <row r="142" ht="12.75">
      <c r="B142" s="51"/>
    </row>
    <row r="143" ht="12.75">
      <c r="B143" s="51"/>
    </row>
    <row r="144" ht="12.75">
      <c r="B144" s="51"/>
    </row>
    <row r="145" ht="12.75">
      <c r="B145" s="51"/>
    </row>
    <row r="146" ht="12.75">
      <c r="B146" s="51"/>
    </row>
    <row r="147" ht="12.75">
      <c r="B147" s="51"/>
    </row>
    <row r="148" ht="12.75">
      <c r="B148" s="51"/>
    </row>
    <row r="149" ht="12.75">
      <c r="B149" s="51"/>
    </row>
    <row r="150" ht="12.75">
      <c r="B150" s="51"/>
    </row>
    <row r="151" ht="12.75">
      <c r="B151" s="51"/>
    </row>
    <row r="152" ht="12.75">
      <c r="B152" s="51"/>
    </row>
    <row r="153" ht="12.75">
      <c r="B153" s="51"/>
    </row>
    <row r="154" ht="12.75">
      <c r="B154" s="51"/>
    </row>
    <row r="155" ht="12.75">
      <c r="B155" s="51"/>
    </row>
    <row r="156" ht="12.75">
      <c r="B156" s="51"/>
    </row>
    <row r="157" ht="12.75">
      <c r="B157" s="51"/>
    </row>
    <row r="158" ht="12.75">
      <c r="B158" s="51"/>
    </row>
    <row r="159" ht="12.75">
      <c r="B159" s="51"/>
    </row>
    <row r="160" ht="12.75">
      <c r="B160" s="51"/>
    </row>
    <row r="161" ht="12.75">
      <c r="B161" s="51"/>
    </row>
    <row r="162" ht="12.75">
      <c r="B162" s="51"/>
    </row>
    <row r="163" ht="12.75">
      <c r="B163" s="51"/>
    </row>
    <row r="164" ht="12.75">
      <c r="B164" s="51"/>
    </row>
    <row r="165" ht="12.75">
      <c r="B165" s="51"/>
    </row>
    <row r="166" ht="12.75">
      <c r="B166" s="51"/>
    </row>
    <row r="167" ht="12.75">
      <c r="B167" s="51"/>
    </row>
    <row r="168" ht="12.75">
      <c r="B168" s="51"/>
    </row>
    <row r="169" ht="12.75">
      <c r="B169" s="51"/>
    </row>
    <row r="170" ht="12.75">
      <c r="B170" s="51"/>
    </row>
    <row r="171" ht="12.75">
      <c r="B171" s="51"/>
    </row>
    <row r="172" ht="12.75">
      <c r="B172" s="51"/>
    </row>
    <row r="173" ht="12.75">
      <c r="B173" s="51"/>
    </row>
    <row r="174" ht="12.75">
      <c r="B174" s="51"/>
    </row>
    <row r="175" ht="12.75">
      <c r="B175" s="51"/>
    </row>
    <row r="176" ht="12.75">
      <c r="B176" s="51"/>
    </row>
    <row r="177" ht="12.75">
      <c r="B177" s="51"/>
    </row>
    <row r="178" ht="12.75">
      <c r="B178" s="51"/>
    </row>
    <row r="179" ht="12.75">
      <c r="B179" s="51"/>
    </row>
    <row r="180" ht="12.75">
      <c r="B180" s="51"/>
    </row>
    <row r="181" ht="12.75">
      <c r="B181" s="51"/>
    </row>
    <row r="182" ht="12.75">
      <c r="B182" s="51"/>
    </row>
    <row r="183" ht="12.75">
      <c r="B183" s="51"/>
    </row>
    <row r="184" ht="12.75">
      <c r="B184" s="51"/>
    </row>
    <row r="185" ht="12.75">
      <c r="B185" s="51"/>
    </row>
    <row r="186" ht="12.75">
      <c r="B186" s="51"/>
    </row>
    <row r="187" ht="12.75">
      <c r="B187" s="51"/>
    </row>
    <row r="188" ht="12.75">
      <c r="B188" s="51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4" ht="12.75">
      <c r="B194" s="51"/>
    </row>
    <row r="195" ht="12.75">
      <c r="B195" s="51"/>
    </row>
    <row r="196" ht="12.75">
      <c r="B196" s="51"/>
    </row>
    <row r="197" ht="12.75">
      <c r="B197" s="51"/>
    </row>
    <row r="198" ht="12.75">
      <c r="B198" s="51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38</v>
      </c>
      <c r="B2" s="10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koleje'!I3</f>
        <v>78.15798516507182</v>
      </c>
      <c r="F4" s="21"/>
      <c r="G4" s="7"/>
      <c r="H4" s="22">
        <f>E4*365/12</f>
        <v>2377.305382104268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>
        <v>237</v>
      </c>
      <c r="C9" s="7">
        <f>B9*1</f>
        <v>237</v>
      </c>
      <c r="D9" s="7">
        <f>Koeficienty!B4</f>
        <v>1.4375</v>
      </c>
      <c r="E9" s="29">
        <f>IF(B9&gt;0,$E$10*D9," ")</f>
        <v>93.37199983759281</v>
      </c>
      <c r="F9" s="29">
        <f>IF(E9=" "," ",E9*Koeficienty!$B$25)</f>
        <v>98.04059982947246</v>
      </c>
      <c r="G9" s="30">
        <f aca="true" t="shared" si="0" ref="G9:G17">IF(E9=" "," ",E9*C9)</f>
        <v>22129.163961509497</v>
      </c>
      <c r="H9" s="29">
        <f aca="true" t="shared" si="1" ref="H9:H17">IF(E9=" "," ",E9*365/12)</f>
        <v>2840.0649950601146</v>
      </c>
      <c r="I9" s="29">
        <f>IF(H9=" "," ",H9*Koeficienty!$B$25)</f>
        <v>2982.0682448131206</v>
      </c>
      <c r="J9" s="23"/>
    </row>
    <row r="10" spans="1:10" ht="12.75">
      <c r="A10" s="28" t="s">
        <v>57</v>
      </c>
      <c r="B10" s="7"/>
      <c r="C10" s="7">
        <f>B10*2</f>
        <v>0</v>
      </c>
      <c r="D10" s="7">
        <f>Koeficienty!B6</f>
        <v>1</v>
      </c>
      <c r="E10" s="29">
        <f>B22/(C8*D8+C9*D9+C10*D10+C11*D11+C12*D12+C13*D13+C14*D14+C15*D15+C16*D16+C17*D17)</f>
        <v>64.95443466962978</v>
      </c>
      <c r="F10" s="42">
        <f>IF(E10=" "," ",E10*Koeficienty!$B$25)</f>
        <v>68.20215640311127</v>
      </c>
      <c r="G10" s="30">
        <f t="shared" si="0"/>
        <v>0</v>
      </c>
      <c r="H10" s="42">
        <f t="shared" si="1"/>
        <v>1975.6973878679057</v>
      </c>
      <c r="I10" s="42">
        <f>IF(H10=" "," ",H10*Koeficienty!$B$25)</f>
        <v>2074.482257261301</v>
      </c>
      <c r="J10" s="23"/>
    </row>
    <row r="11" spans="1:10" ht="12.75">
      <c r="A11" s="28" t="s">
        <v>62</v>
      </c>
      <c r="B11" s="7">
        <v>521</v>
      </c>
      <c r="C11" s="7">
        <f>B11*2</f>
        <v>1042</v>
      </c>
      <c r="D11" s="7">
        <f>Koeficienty!B8</f>
        <v>1.15</v>
      </c>
      <c r="E11" s="29">
        <f aca="true" t="shared" si="2" ref="E11:E17">IF(B11&gt;0,$E$10*D11," ")</f>
        <v>74.69759987007424</v>
      </c>
      <c r="F11" s="29">
        <f>IF(E11=" "," ",E11*Koeficienty!$B$25)</f>
        <v>78.43247986357795</v>
      </c>
      <c r="G11" s="30">
        <f t="shared" si="0"/>
        <v>77834.89906461736</v>
      </c>
      <c r="H11" s="29">
        <f t="shared" si="1"/>
        <v>2272.0519960480915</v>
      </c>
      <c r="I11" s="29">
        <f>IF(H11=" "," ",H11*Koeficienty!$B$25)</f>
        <v>2385.654595850496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1279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1279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78.15798516507182</v>
      </c>
      <c r="C21" s="32"/>
      <c r="D21" s="32"/>
      <c r="E21" s="22"/>
      <c r="F21" s="22"/>
      <c r="G21" s="30"/>
      <c r="H21" s="33">
        <f>B21*365/12</f>
        <v>2377.305382104268</v>
      </c>
      <c r="I21" s="22"/>
      <c r="J21" s="23"/>
    </row>
    <row r="22" spans="1:10" ht="12.75">
      <c r="A22" s="16" t="s">
        <v>5</v>
      </c>
      <c r="B22" s="34">
        <f>B20*B21</f>
        <v>99964.06302612685</v>
      </c>
      <c r="C22" s="35"/>
      <c r="D22" s="35"/>
      <c r="E22" s="30"/>
      <c r="F22" s="30"/>
      <c r="G22" s="36">
        <f>SUM(G8:G17)</f>
        <v>99964.06302612685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37</v>
      </c>
      <c r="B2" s="10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koleje'!J3</f>
        <v>142.12907975096246</v>
      </c>
      <c r="F4" s="21"/>
      <c r="G4" s="7"/>
      <c r="H4" s="22">
        <f>E4*365/12</f>
        <v>4323.092842425108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>
        <v>106</v>
      </c>
      <c r="C9" s="7">
        <f>B9*1</f>
        <v>106</v>
      </c>
      <c r="D9" s="7">
        <f>Koeficienty!B4</f>
        <v>1.4375</v>
      </c>
      <c r="E9" s="29">
        <f>IF(B9&gt;0,$E$10*D9," ")</f>
        <v>161.11292871594162</v>
      </c>
      <c r="F9" s="29">
        <f>IF(E9=" "," ",E9*Koeficienty!$B$25)</f>
        <v>169.1685751517387</v>
      </c>
      <c r="G9" s="30">
        <f aca="true" t="shared" si="0" ref="G9:G17">IF(E9=" "," ",E9*C9)</f>
        <v>17077.97044388981</v>
      </c>
      <c r="H9" s="29">
        <f aca="true" t="shared" si="1" ref="H9:H17">IF(E9=" "," ",E9*365/12)</f>
        <v>4900.518248443224</v>
      </c>
      <c r="I9" s="29">
        <f>IF(H9=" "," ",H9*Koeficienty!$B$25)</f>
        <v>5145.5441608653855</v>
      </c>
      <c r="J9" s="23"/>
    </row>
    <row r="10" spans="1:10" ht="12.75">
      <c r="A10" s="28" t="s">
        <v>57</v>
      </c>
      <c r="B10" s="7"/>
      <c r="C10" s="7">
        <f>B10*2</f>
        <v>0</v>
      </c>
      <c r="D10" s="7">
        <f>Koeficienty!B6</f>
        <v>1</v>
      </c>
      <c r="E10" s="29">
        <f>B22/(C8*D8+C9*D9+C10*D10+C11*D11+C12*D12+C13*D13+C14*D14+C15*D15+C16*D16+C17*D17)</f>
        <v>112.078559106742</v>
      </c>
      <c r="F10" s="42">
        <f>IF(E10=" "," ",E10*Koeficienty!$B$25)</f>
        <v>117.6824870620791</v>
      </c>
      <c r="G10" s="30">
        <f t="shared" si="0"/>
        <v>0</v>
      </c>
      <c r="H10" s="42">
        <f t="shared" si="1"/>
        <v>3409.056172830069</v>
      </c>
      <c r="I10" s="42">
        <f>IF(H10=" "," ",H10*Koeficienty!$B$25)</f>
        <v>3579.5089814715725</v>
      </c>
      <c r="J10" s="23"/>
    </row>
    <row r="11" spans="1:10" ht="12.75">
      <c r="A11" s="28" t="s">
        <v>62</v>
      </c>
      <c r="B11" s="7">
        <v>76</v>
      </c>
      <c r="C11" s="7">
        <f>B11*2</f>
        <v>152</v>
      </c>
      <c r="D11" s="7">
        <f>Koeficienty!B8</f>
        <v>1.15</v>
      </c>
      <c r="E11" s="29">
        <f aca="true" t="shared" si="2" ref="E11:E17">IF(B11&gt;0,$E$10*D11," ")</f>
        <v>128.8903429727533</v>
      </c>
      <c r="F11" s="29">
        <f>IF(E11=" "," ",E11*Koeficienty!$B$25)</f>
        <v>135.33486012139096</v>
      </c>
      <c r="G11" s="30">
        <f t="shared" si="0"/>
        <v>19591.3321318585</v>
      </c>
      <c r="H11" s="29">
        <f t="shared" si="1"/>
        <v>3920.41459875458</v>
      </c>
      <c r="I11" s="29">
        <f>IF(H11=" "," ",H11*Koeficienty!$B$25)</f>
        <v>4116.435328692309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258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258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142.12907975096246</v>
      </c>
      <c r="C21" s="32"/>
      <c r="D21" s="32"/>
      <c r="E21" s="22"/>
      <c r="F21" s="22"/>
      <c r="G21" s="30"/>
      <c r="H21" s="33">
        <f>B21*365/12</f>
        <v>4323.092842425108</v>
      </c>
      <c r="I21" s="22"/>
      <c r="J21" s="23"/>
    </row>
    <row r="22" spans="1:10" ht="12.75">
      <c r="A22" s="16" t="s">
        <v>5</v>
      </c>
      <c r="B22" s="34">
        <f>B20*B21</f>
        <v>36669.30257574831</v>
      </c>
      <c r="C22" s="35"/>
      <c r="D22" s="35"/>
      <c r="E22" s="30"/>
      <c r="F22" s="30"/>
      <c r="G22" s="36">
        <f>SUM(G8:G17)</f>
        <v>36669.30257574831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39</v>
      </c>
      <c r="B2" s="10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koleje'!K3</f>
        <v>67.73776808668268</v>
      </c>
      <c r="F4" s="21"/>
      <c r="G4" s="7"/>
      <c r="H4" s="22">
        <f>E4*365/12</f>
        <v>2060.3571126365982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20</v>
      </c>
      <c r="C10" s="7">
        <f>B10*2</f>
        <v>40</v>
      </c>
      <c r="D10" s="7">
        <f>Koeficienty!B6</f>
        <v>1</v>
      </c>
      <c r="E10" s="29">
        <f>B22/(C8*D8+C9*D9+C10*D10+C11*D11+C12*D12+C13*D13+C14*D14+C15*D15+C16*D16+C17*D17)</f>
        <v>73.31296319474842</v>
      </c>
      <c r="F10" s="29">
        <f>IF(E10=" "," ",E10*Koeficienty!$B$25)</f>
        <v>76.97861135448585</v>
      </c>
      <c r="G10" s="30">
        <f t="shared" si="0"/>
        <v>2932.518527789937</v>
      </c>
      <c r="H10" s="29">
        <f t="shared" si="1"/>
        <v>2229.9359638402643</v>
      </c>
      <c r="I10" s="29">
        <f>IF(H10=" "," ",H10*Koeficienty!$B$25)</f>
        <v>2341.4327620322774</v>
      </c>
      <c r="J10" s="23"/>
    </row>
    <row r="11" spans="1:10" ht="12.75">
      <c r="A11" s="28" t="s">
        <v>62</v>
      </c>
      <c r="B11" s="7">
        <v>5</v>
      </c>
      <c r="C11" s="7">
        <f>B11*2</f>
        <v>10</v>
      </c>
      <c r="D11" s="7">
        <f>Koeficienty!B8</f>
        <v>1.15</v>
      </c>
      <c r="E11" s="29">
        <f aca="true" t="shared" si="2" ref="E11:E17">IF(B11&gt;0,$E$10*D11," ")</f>
        <v>84.30990767396068</v>
      </c>
      <c r="F11" s="29">
        <f>IF(E11=" "," ",E11*Koeficienty!$B$25)</f>
        <v>88.52540305765872</v>
      </c>
      <c r="G11" s="30">
        <f t="shared" si="0"/>
        <v>843.0990767396067</v>
      </c>
      <c r="H11" s="29">
        <f t="shared" si="1"/>
        <v>2564.426358416304</v>
      </c>
      <c r="I11" s="29">
        <f>IF(H11=" "," ",H11*Koeficienty!$B$25)</f>
        <v>2692.6476763371193</v>
      </c>
      <c r="J11" s="23"/>
    </row>
    <row r="12" spans="1:10" ht="12.75">
      <c r="A12" s="28" t="s">
        <v>58</v>
      </c>
      <c r="B12" s="7">
        <v>7</v>
      </c>
      <c r="C12" s="7">
        <f>B12*3</f>
        <v>21</v>
      </c>
      <c r="D12" s="7">
        <f>Koeficienty!B10</f>
        <v>0.8</v>
      </c>
      <c r="E12" s="29">
        <f t="shared" si="2"/>
        <v>58.65037055579874</v>
      </c>
      <c r="F12" s="29">
        <f>IF(E12=" "," ",E12*Koeficienty!$B$25)</f>
        <v>61.582889083588675</v>
      </c>
      <c r="G12" s="30">
        <f t="shared" si="0"/>
        <v>1231.6577816717736</v>
      </c>
      <c r="H12" s="29">
        <f t="shared" si="1"/>
        <v>1783.9487710722115</v>
      </c>
      <c r="I12" s="29">
        <f>IF(H12=" "," ",H12*Koeficienty!$B$25)</f>
        <v>1873.1462096258222</v>
      </c>
      <c r="J12" s="23"/>
    </row>
    <row r="13" spans="1:10" ht="12.75">
      <c r="A13" s="28" t="s">
        <v>63</v>
      </c>
      <c r="B13" s="7">
        <v>1</v>
      </c>
      <c r="C13" s="7">
        <f>B13*3</f>
        <v>3</v>
      </c>
      <c r="D13" s="7">
        <f>Koeficienty!B12</f>
        <v>0.9199999999999999</v>
      </c>
      <c r="E13" s="29">
        <f t="shared" si="2"/>
        <v>67.44792613916854</v>
      </c>
      <c r="F13" s="29">
        <f>IF(E13=" "," ",E13*Koeficienty!$B$25)</f>
        <v>70.82032244612698</v>
      </c>
      <c r="G13" s="30">
        <f t="shared" si="0"/>
        <v>202.34377841750563</v>
      </c>
      <c r="H13" s="29">
        <f t="shared" si="1"/>
        <v>2051.5410867330434</v>
      </c>
      <c r="I13" s="29">
        <f>IF(H13=" "," ",H13*Koeficienty!$B$25)</f>
        <v>2154.1181410696954</v>
      </c>
      <c r="J13" s="23"/>
    </row>
    <row r="14" spans="1:10" ht="12.75">
      <c r="A14" s="28" t="s">
        <v>59</v>
      </c>
      <c r="B14" s="7">
        <v>3</v>
      </c>
      <c r="C14" s="7">
        <f>B14*4</f>
        <v>12</v>
      </c>
      <c r="D14" s="7">
        <f>Koeficienty!B14</f>
        <v>0.7</v>
      </c>
      <c r="E14" s="29">
        <f t="shared" si="2"/>
        <v>51.31907423632389</v>
      </c>
      <c r="F14" s="29">
        <f>IF(E14=" "," ",E14*Koeficienty!$B$25)</f>
        <v>53.88502794814009</v>
      </c>
      <c r="G14" s="30">
        <f t="shared" si="0"/>
        <v>615.8288908358867</v>
      </c>
      <c r="H14" s="29">
        <f t="shared" si="1"/>
        <v>1560.955174688185</v>
      </c>
      <c r="I14" s="29">
        <f>IF(H14=" "," ",H14*Koeficienty!$B$25)</f>
        <v>1639.0029334225944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86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86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67.73776808668268</v>
      </c>
      <c r="C21" s="32"/>
      <c r="D21" s="32"/>
      <c r="E21" s="22"/>
      <c r="F21" s="22"/>
      <c r="G21" s="30"/>
      <c r="H21" s="33">
        <f>B21*365/12</f>
        <v>2060.3571126365982</v>
      </c>
      <c r="I21" s="22"/>
      <c r="J21" s="23"/>
    </row>
    <row r="22" spans="1:10" ht="12.75">
      <c r="A22" s="16" t="s">
        <v>5</v>
      </c>
      <c r="B22" s="34">
        <f>B20*B21</f>
        <v>5825.44805545471</v>
      </c>
      <c r="C22" s="35"/>
      <c r="D22" s="35"/>
      <c r="E22" s="30"/>
      <c r="F22" s="30"/>
      <c r="G22" s="36">
        <f>SUM(G8:G17)</f>
        <v>5825.448055454709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40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koleje'!L3</f>
        <v>68.37817708832749</v>
      </c>
      <c r="F4" s="21"/>
      <c r="G4" s="7"/>
      <c r="H4" s="22">
        <f>E4*365/12</f>
        <v>2079.836219769961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78</v>
      </c>
      <c r="C10" s="7">
        <f>B10*2</f>
        <v>156</v>
      </c>
      <c r="D10" s="7">
        <f>Koeficienty!B6</f>
        <v>1</v>
      </c>
      <c r="E10" s="29">
        <f>B22/(C8*D8+C9*D9+C10*D10+C11*D11+C12*D12+C13*D13+C14*D14+C15*D15+C16*D16+C17*D17)</f>
        <v>68.37817708832749</v>
      </c>
      <c r="F10" s="29">
        <f>IF(E10=" "," ",E10*Koeficienty!$B$25)</f>
        <v>71.79708594274386</v>
      </c>
      <c r="G10" s="30">
        <f t="shared" si="0"/>
        <v>10666.99562577909</v>
      </c>
      <c r="H10" s="29">
        <f t="shared" si="1"/>
        <v>2079.836219769961</v>
      </c>
      <c r="I10" s="29">
        <f>IF(H10=" "," ",H10*Koeficienty!$B$25)</f>
        <v>2183.828030758459</v>
      </c>
      <c r="J10" s="23"/>
    </row>
    <row r="11" spans="1:10" ht="12.75">
      <c r="A11" s="28" t="s">
        <v>62</v>
      </c>
      <c r="B11" s="7"/>
      <c r="C11" s="7">
        <f>B11*2</f>
        <v>0</v>
      </c>
      <c r="D11" s="7">
        <f>Koeficienty!B8</f>
        <v>1.15</v>
      </c>
      <c r="E11" s="29" t="str">
        <f aca="true" t="shared" si="2" ref="E11:E17">IF(B11&gt;0,$E$10*D11," ")</f>
        <v> </v>
      </c>
      <c r="F11" s="29" t="str">
        <f>IF(E11=" "," ",E11*Koeficienty!$B$25)</f>
        <v> </v>
      </c>
      <c r="G11" s="30" t="str">
        <f t="shared" si="0"/>
        <v> </v>
      </c>
      <c r="H11" s="29" t="str">
        <f t="shared" si="1"/>
        <v> </v>
      </c>
      <c r="I11" s="29" t="str">
        <f>IF(H11=" "," ",H11*Koeficienty!$B$25)</f>
        <v> 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156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156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68.37817708832749</v>
      </c>
      <c r="C21" s="32"/>
      <c r="D21" s="32"/>
      <c r="E21" s="22"/>
      <c r="F21" s="22"/>
      <c r="G21" s="30"/>
      <c r="H21" s="33">
        <f>B21*365/12</f>
        <v>2079.836219769961</v>
      </c>
      <c r="I21" s="22"/>
      <c r="J21" s="23"/>
    </row>
    <row r="22" spans="1:10" ht="12.75">
      <c r="A22" s="16" t="s">
        <v>5</v>
      </c>
      <c r="B22" s="34">
        <f>B20*B21</f>
        <v>10666.99562577909</v>
      </c>
      <c r="C22" s="35"/>
      <c r="D22" s="35"/>
      <c r="E22" s="30"/>
      <c r="F22" s="30"/>
      <c r="G22" s="36">
        <f>SUM(G8:G17)</f>
        <v>10666.99562577909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2" max="2" width="10.0039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57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41</v>
      </c>
      <c r="B2" s="10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koleje'!N3</f>
        <v>87.09069996480476</v>
      </c>
      <c r="F4" s="21"/>
      <c r="G4" s="7"/>
      <c r="H4" s="22">
        <f>E4*365/12</f>
        <v>2649.0087905961445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/>
      <c r="C10" s="7">
        <f>B10*2</f>
        <v>0</v>
      </c>
      <c r="D10" s="7">
        <f>Koeficienty!B6</f>
        <v>1</v>
      </c>
      <c r="E10" s="29">
        <f>B22/(C8*D8+C9*D9+C10*D10+C11*D11+C12*D12+C13*D13+C14*D14+C15*D15+C16*D16+C17*D17)</f>
        <v>75.73104344765632</v>
      </c>
      <c r="F10" s="42">
        <f>IF(E10=" "," ",E10*Koeficienty!$B$25)</f>
        <v>79.51759562003913</v>
      </c>
      <c r="G10" s="30">
        <f t="shared" si="0"/>
        <v>0</v>
      </c>
      <c r="H10" s="42">
        <f t="shared" si="1"/>
        <v>2303.4859048662133</v>
      </c>
      <c r="I10" s="42">
        <f>IF(H10=" "," ",H10*Koeficienty!$B$25)</f>
        <v>2418.660200109524</v>
      </c>
      <c r="J10" s="23"/>
    </row>
    <row r="11" spans="1:10" ht="12.75">
      <c r="A11" s="28" t="s">
        <v>62</v>
      </c>
      <c r="B11" s="7">
        <v>736</v>
      </c>
      <c r="C11" s="7">
        <f>B11*2</f>
        <v>1472</v>
      </c>
      <c r="D11" s="7">
        <f>Koeficienty!B8</f>
        <v>1.15</v>
      </c>
      <c r="E11" s="29">
        <f aca="true" t="shared" si="2" ref="E11:E17">IF(B11&gt;0,$E$10*D11," ")</f>
        <v>87.09069996480476</v>
      </c>
      <c r="F11" s="29">
        <f>IF(E11=" "," ",E11*Koeficienty!$B$25)</f>
        <v>91.445234963045</v>
      </c>
      <c r="G11" s="30">
        <f t="shared" si="0"/>
        <v>128197.5103481926</v>
      </c>
      <c r="H11" s="29">
        <f t="shared" si="1"/>
        <v>2649.0087905961445</v>
      </c>
      <c r="I11" s="29">
        <f>IF(H11=" "," ",H11*Koeficienty!$B$25)</f>
        <v>2781.4592301259518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1472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1472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87.09069996480476</v>
      </c>
      <c r="C21" s="32"/>
      <c r="D21" s="32"/>
      <c r="E21" s="22"/>
      <c r="F21" s="22"/>
      <c r="G21" s="30"/>
      <c r="H21" s="33">
        <f>B21*365/12</f>
        <v>2649.0087905961445</v>
      </c>
      <c r="I21" s="22"/>
      <c r="J21" s="23"/>
    </row>
    <row r="22" spans="1:10" ht="12.75">
      <c r="A22" s="16" t="s">
        <v>5</v>
      </c>
      <c r="B22" s="34">
        <f>B20*B21</f>
        <v>128197.5103481926</v>
      </c>
      <c r="C22" s="35"/>
      <c r="D22" s="35"/>
      <c r="E22" s="30"/>
      <c r="F22" s="30"/>
      <c r="G22" s="36">
        <f>SUM(G8:G17)</f>
        <v>128197.5103481926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9"/>
  <dimension ref="A1:J32"/>
  <sheetViews>
    <sheetView zoomScale="85" zoomScaleNormal="85" workbookViewId="0" topLeftCell="A2">
      <selection activeCell="A3" sqref="A3"/>
    </sheetView>
  </sheetViews>
  <sheetFormatPr defaultColWidth="9.140625" defaultRowHeight="12.75"/>
  <cols>
    <col min="1" max="1" width="33.57421875" style="0" customWidth="1"/>
    <col min="2" max="2" width="10.14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71093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43" t="s">
        <v>98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koleje'!O3</f>
        <v>63.671791505939154</v>
      </c>
      <c r="F4" s="21"/>
      <c r="G4" s="7"/>
      <c r="H4" s="22">
        <f>E4*365/12</f>
        <v>1936.6836583056493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>
        <v>6</v>
      </c>
      <c r="C9" s="7">
        <f>B9*1</f>
        <v>6</v>
      </c>
      <c r="D9" s="7">
        <f>Koeficienty!B4</f>
        <v>1.4375</v>
      </c>
      <c r="E9" s="29">
        <f>IF(B9&gt;0,$E$10*D9," ")</f>
        <v>88.52482688617643</v>
      </c>
      <c r="F9" s="29">
        <f>IF(E9=" "," ",E9*Koeficienty!$B$25)</f>
        <v>92.95106823048525</v>
      </c>
      <c r="G9" s="30">
        <f aca="true" t="shared" si="0" ref="G9:G17">IF(E9=" "," ",E9*C9)</f>
        <v>531.1489613170586</v>
      </c>
      <c r="H9" s="29">
        <f aca="true" t="shared" si="1" ref="H9:H17">IF(E9=" "," ",E9*365/12)</f>
        <v>2692.6301511211996</v>
      </c>
      <c r="I9" s="29">
        <f>IF(H9=" "," ",H9*Koeficienty!$B$25)</f>
        <v>2827.2616586772597</v>
      </c>
      <c r="J9" s="23"/>
    </row>
    <row r="10" spans="1:10" ht="12.75">
      <c r="A10" s="28" t="s">
        <v>57</v>
      </c>
      <c r="B10" s="7"/>
      <c r="C10" s="7">
        <f>B10*2</f>
        <v>0</v>
      </c>
      <c r="D10" s="7">
        <f>Koeficienty!B6</f>
        <v>1</v>
      </c>
      <c r="E10" s="29">
        <f>B22/(C8*D8+C9*D9+C10*D10+C11*D11+C12*D12+C13*D13+C14*D14+C15*D15+C16*D16+C17*D17)</f>
        <v>61.582488268644475</v>
      </c>
      <c r="F10" s="42">
        <f>IF(E10=" "," ",E10*Koeficienty!$B$25)</f>
        <v>64.66161268207671</v>
      </c>
      <c r="G10" s="30">
        <f t="shared" si="0"/>
        <v>0</v>
      </c>
      <c r="H10" s="42">
        <f t="shared" si="1"/>
        <v>1873.1340181712694</v>
      </c>
      <c r="I10" s="42">
        <f>IF(H10=" "," ",H10*Koeficienty!$B$25)</f>
        <v>1966.790719079833</v>
      </c>
      <c r="J10" s="23"/>
    </row>
    <row r="11" spans="1:10" ht="12.75">
      <c r="A11" s="28" t="s">
        <v>62</v>
      </c>
      <c r="B11" s="7">
        <v>471</v>
      </c>
      <c r="C11" s="7">
        <f>B11*2</f>
        <v>942</v>
      </c>
      <c r="D11" s="7">
        <f>Koeficienty!B8</f>
        <v>1.15</v>
      </c>
      <c r="E11" s="29">
        <f aca="true" t="shared" si="2" ref="E11:E17">IF(B11&gt;0,$E$10*D11," ")</f>
        <v>70.81986150894114</v>
      </c>
      <c r="F11" s="29">
        <f>IF(E11=" "," ",E11*Koeficienty!$B$25)</f>
        <v>74.3608545843882</v>
      </c>
      <c r="G11" s="30">
        <f t="shared" si="0"/>
        <v>66712.30954142255</v>
      </c>
      <c r="H11" s="29">
        <f t="shared" si="1"/>
        <v>2154.1041208969596</v>
      </c>
      <c r="I11" s="29">
        <f>IF(H11=" "," ",H11*Koeficienty!$B$25)</f>
        <v>2261.8093269418077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>
        <v>327</v>
      </c>
      <c r="C13" s="7">
        <f>B13*3</f>
        <v>981</v>
      </c>
      <c r="D13" s="7">
        <f>Koeficienty!B12</f>
        <v>0.9199999999999999</v>
      </c>
      <c r="E13" s="29">
        <f t="shared" si="2"/>
        <v>56.65588920715291</v>
      </c>
      <c r="F13" s="29">
        <f>IF(E13=" "," ",E13*Koeficienty!$B$25)</f>
        <v>59.48868366751056</v>
      </c>
      <c r="G13" s="30">
        <f t="shared" si="0"/>
        <v>55579.427312217005</v>
      </c>
      <c r="H13" s="29">
        <f t="shared" si="1"/>
        <v>1723.2832967175675</v>
      </c>
      <c r="I13" s="29">
        <f>IF(H13=" "," ",H13*Koeficienty!$B$25)</f>
        <v>1809.447461553446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1929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1929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63.671791505939154</v>
      </c>
      <c r="C21" s="32"/>
      <c r="D21" s="32"/>
      <c r="E21" s="22"/>
      <c r="F21" s="22"/>
      <c r="G21" s="30"/>
      <c r="H21" s="33">
        <f>B21*365/12</f>
        <v>1936.6836583056493</v>
      </c>
      <c r="I21" s="22"/>
      <c r="J21" s="23"/>
    </row>
    <row r="22" spans="1:10" ht="12.75">
      <c r="A22" s="16" t="s">
        <v>5</v>
      </c>
      <c r="B22" s="34">
        <f>B20*B21</f>
        <v>122822.88581495662</v>
      </c>
      <c r="C22" s="35"/>
      <c r="D22" s="35"/>
      <c r="E22" s="30"/>
      <c r="F22" s="30"/>
      <c r="G22" s="36">
        <f>SUM(G8:G17)</f>
        <v>122822.88581495662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0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42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koleje'!P3</f>
        <v>77.77852979723814</v>
      </c>
      <c r="F4" s="21"/>
      <c r="G4" s="7"/>
      <c r="H4" s="22">
        <f>E4*365/12</f>
        <v>2365.7636146659934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>
        <v>22</v>
      </c>
      <c r="C9" s="7">
        <f>B9*1</f>
        <v>22</v>
      </c>
      <c r="D9" s="7">
        <f>Koeficienty!B4</f>
        <v>1.4375</v>
      </c>
      <c r="E9" s="29">
        <f>IF(B9&gt;0,$E$10*D9," ")</f>
        <v>98.775448231695</v>
      </c>
      <c r="F9" s="29">
        <f>IF(E9=" "," ",E9*Koeficienty!$B$25)</f>
        <v>103.71422064327975</v>
      </c>
      <c r="G9" s="30">
        <f aca="true" t="shared" si="0" ref="G9:G17">IF(E9=" "," ",E9*C9)</f>
        <v>2173.0598610972897</v>
      </c>
      <c r="H9" s="29">
        <f aca="true" t="shared" si="1" ref="H9:H17">IF(E9=" "," ",E9*365/12)</f>
        <v>3004.419883714056</v>
      </c>
      <c r="I9" s="29">
        <f>IF(H9=" "," ",H9*Koeficienty!$B$25)</f>
        <v>3154.6408778997593</v>
      </c>
      <c r="J9" s="23"/>
    </row>
    <row r="10" spans="1:10" ht="12.75">
      <c r="A10" s="28" t="s">
        <v>57</v>
      </c>
      <c r="B10" s="7">
        <v>80</v>
      </c>
      <c r="C10" s="7">
        <f>B10*2</f>
        <v>160</v>
      </c>
      <c r="D10" s="7">
        <f>Koeficienty!B6</f>
        <v>1</v>
      </c>
      <c r="E10" s="29">
        <f>B22/(C8*D8+C9*D9+C10*D10+C11*D11+C12*D12+C13*D13+C14*D14+C15*D15+C16*D16+C17*D17)</f>
        <v>68.71335529161391</v>
      </c>
      <c r="F10" s="29">
        <f>IF(E10=" "," ",E10*Koeficienty!$B$25)</f>
        <v>72.14902305619461</v>
      </c>
      <c r="G10" s="30">
        <f t="shared" si="0"/>
        <v>10994.136846658224</v>
      </c>
      <c r="H10" s="29">
        <f t="shared" si="1"/>
        <v>2090.031223453256</v>
      </c>
      <c r="I10" s="29">
        <f>IF(H10=" "," ",H10*Koeficienty!$B$25)</f>
        <v>2194.5327846259192</v>
      </c>
      <c r="J10" s="23"/>
    </row>
    <row r="11" spans="1:10" ht="12.75">
      <c r="A11" s="28" t="s">
        <v>62</v>
      </c>
      <c r="B11" s="7">
        <v>398</v>
      </c>
      <c r="C11" s="7">
        <f>B11*2</f>
        <v>796</v>
      </c>
      <c r="D11" s="7">
        <f>Koeficienty!B8</f>
        <v>1.15</v>
      </c>
      <c r="E11" s="29">
        <f aca="true" t="shared" si="2" ref="E11:E17">IF(B11&gt;0,$E$10*D11," ")</f>
        <v>79.02035858535599</v>
      </c>
      <c r="F11" s="29">
        <f>IF(E11=" "," ",E11*Koeficienty!$B$25)</f>
        <v>82.9713765146238</v>
      </c>
      <c r="G11" s="30">
        <f t="shared" si="0"/>
        <v>62900.20543394337</v>
      </c>
      <c r="H11" s="29">
        <f t="shared" si="1"/>
        <v>2403.535906971245</v>
      </c>
      <c r="I11" s="29">
        <f>IF(H11=" "," ",H11*Koeficienty!$B$25)</f>
        <v>2523.7127023198072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978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978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77.77852979723814</v>
      </c>
      <c r="C21" s="32"/>
      <c r="D21" s="32"/>
      <c r="E21" s="22"/>
      <c r="F21" s="22"/>
      <c r="G21" s="30"/>
      <c r="H21" s="33">
        <f>B21*365/12</f>
        <v>2365.7636146659934</v>
      </c>
      <c r="I21" s="22"/>
      <c r="J21" s="23"/>
    </row>
    <row r="22" spans="1:10" ht="12.75">
      <c r="A22" s="16" t="s">
        <v>5</v>
      </c>
      <c r="B22" s="34">
        <f>B20*B21</f>
        <v>76067.4021416989</v>
      </c>
      <c r="C22" s="35"/>
      <c r="D22" s="35"/>
      <c r="E22" s="30"/>
      <c r="F22" s="30"/>
      <c r="G22" s="36">
        <f>SUM(G8:G17)</f>
        <v>76067.40214169888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>
    <tabColor indexed="42"/>
  </sheetPr>
  <dimension ref="A1:F3"/>
  <sheetViews>
    <sheetView showZeros="0" workbookViewId="0" topLeftCell="A1">
      <pane xSplit="2" ySplit="3" topLeftCell="C4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E29" sqref="E29"/>
    </sheetView>
  </sheetViews>
  <sheetFormatPr defaultColWidth="9.140625" defaultRowHeight="12.75"/>
  <cols>
    <col min="1" max="1" width="38.8515625" style="4" customWidth="1"/>
    <col min="2" max="2" width="7.28125" style="3" customWidth="1"/>
    <col min="3" max="4" width="6.8515625" style="3" customWidth="1"/>
    <col min="5" max="5" width="9.28125" style="3" customWidth="1"/>
    <col min="6" max="6" width="9.140625" style="3" hidden="1" customWidth="1"/>
    <col min="7" max="16384" width="9.140625" style="3" customWidth="1"/>
  </cols>
  <sheetData>
    <row r="1" spans="1:6" ht="10.5" customHeight="1">
      <c r="A1" s="58" t="s">
        <v>96</v>
      </c>
      <c r="B1" s="70" t="s">
        <v>43</v>
      </c>
      <c r="C1" s="70" t="s">
        <v>44</v>
      </c>
      <c r="D1" s="70" t="s">
        <v>45</v>
      </c>
      <c r="E1" s="74" t="s">
        <v>46</v>
      </c>
      <c r="F1" s="64"/>
    </row>
    <row r="2" spans="1:6" ht="51" customHeight="1">
      <c r="A2" s="59" t="s">
        <v>25</v>
      </c>
      <c r="B2" s="71"/>
      <c r="C2" s="71"/>
      <c r="D2" s="71"/>
      <c r="E2" s="75"/>
      <c r="F2" s="65"/>
    </row>
    <row r="3" spans="1:6" ht="20.25" customHeight="1" thickBot="1">
      <c r="A3" s="60" t="s">
        <v>94</v>
      </c>
      <c r="B3" s="61">
        <v>67.62639400974585</v>
      </c>
      <c r="C3" s="61">
        <v>63.64434836909571</v>
      </c>
      <c r="D3" s="61">
        <v>68.02675090383411</v>
      </c>
      <c r="E3" s="62">
        <v>66.57585427612408</v>
      </c>
      <c r="F3" s="66"/>
    </row>
  </sheetData>
  <mergeCells count="4">
    <mergeCell ref="B1:B2"/>
    <mergeCell ref="C1:C2"/>
    <mergeCell ref="D1:D2"/>
    <mergeCell ref="E1:E2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&amp;CPříloha k opatření rektora č. 22/2007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A1:J32"/>
  <sheetViews>
    <sheetView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53</v>
      </c>
      <c r="B2" s="10"/>
      <c r="C2" s="41"/>
      <c r="D2" s="41"/>
      <c r="E2" s="12" t="s">
        <v>70</v>
      </c>
      <c r="F2" s="12"/>
      <c r="G2" s="13"/>
      <c r="H2" s="12" t="s">
        <v>71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'Plzeňské koleje'!B3</f>
        <v>67.62639400974585</v>
      </c>
      <c r="F4" s="21"/>
      <c r="G4" s="7"/>
      <c r="H4" s="22">
        <f>E4*365/12</f>
        <v>2056.969484463103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>
        <v>2</v>
      </c>
      <c r="C9" s="7">
        <f>B9*1</f>
        <v>2</v>
      </c>
      <c r="D9" s="7">
        <f>Koeficienty!B4</f>
        <v>1.4375</v>
      </c>
      <c r="E9" s="29">
        <f>IF(B9&gt;0,$E$10*D9," ")</f>
        <v>88.01608626276015</v>
      </c>
      <c r="F9" s="29">
        <f>IF(E9=" "," ",E9*Koeficienty!$B$25)</f>
        <v>92.41689057589817</v>
      </c>
      <c r="G9" s="30">
        <f aca="true" t="shared" si="0" ref="G9:G17">IF(E9=" "," ",E9*C9)</f>
        <v>176.0321725255203</v>
      </c>
      <c r="H9" s="29">
        <f aca="true" t="shared" si="1" ref="H9:H17">IF(E9=" "," ",E9*365/12)</f>
        <v>2677.1559571589546</v>
      </c>
      <c r="I9" s="29">
        <f>IF(H9=" "," ",H9*Koeficienty!$B$25)</f>
        <v>2811.0137550169025</v>
      </c>
      <c r="J9" s="23"/>
    </row>
    <row r="10" spans="1:10" ht="12.75">
      <c r="A10" s="28" t="s">
        <v>57</v>
      </c>
      <c r="B10" s="7">
        <v>1</v>
      </c>
      <c r="C10" s="7">
        <f>B10*2</f>
        <v>2</v>
      </c>
      <c r="D10" s="7">
        <f>Koeficienty!B6</f>
        <v>1</v>
      </c>
      <c r="E10" s="29">
        <f>B22/(C8*D8+C9*D9+C10*D10+C11*D11+C12*D12+C13*D13+C14*D14+C15*D15+C16*D16+C17*D17)</f>
        <v>61.22858174800706</v>
      </c>
      <c r="F10" s="42">
        <f>IF(E10=" "," ",E10*Koeficienty!$B$25)</f>
        <v>64.29001083540741</v>
      </c>
      <c r="G10" s="30">
        <f t="shared" si="0"/>
        <v>122.45716349601412</v>
      </c>
      <c r="H10" s="42">
        <f t="shared" si="1"/>
        <v>1862.3693615018813</v>
      </c>
      <c r="I10" s="42">
        <f>IF(H10=" "," ",H10*Koeficienty!$B$25)</f>
        <v>1955.4878295769754</v>
      </c>
      <c r="J10" s="23"/>
    </row>
    <row r="11" spans="1:10" ht="12.75">
      <c r="A11" s="28" t="s">
        <v>62</v>
      </c>
      <c r="B11" s="7">
        <v>165</v>
      </c>
      <c r="C11" s="7">
        <f>B11*2</f>
        <v>330</v>
      </c>
      <c r="D11" s="7">
        <f>Koeficienty!B8</f>
        <v>1.15</v>
      </c>
      <c r="E11" s="29">
        <f aca="true" t="shared" si="2" ref="E11:E17">IF(B11&gt;0,$E$10*D11," ")</f>
        <v>70.41286901020811</v>
      </c>
      <c r="F11" s="29">
        <f>IF(E11=" "," ",E11*Koeficienty!$B$25)</f>
        <v>73.93351246071852</v>
      </c>
      <c r="G11" s="30">
        <f t="shared" si="0"/>
        <v>23236.246773368675</v>
      </c>
      <c r="H11" s="29">
        <f t="shared" si="1"/>
        <v>2141.7247657271632</v>
      </c>
      <c r="I11" s="29">
        <f>IF(H11=" "," ",H11*Koeficienty!$B$25)</f>
        <v>2248.8110040135216</v>
      </c>
      <c r="J11" s="23"/>
    </row>
    <row r="12" spans="1:10" ht="12.75">
      <c r="A12" s="28" t="s">
        <v>58</v>
      </c>
      <c r="B12" s="7">
        <v>1</v>
      </c>
      <c r="C12" s="7">
        <f>B12*3</f>
        <v>3</v>
      </c>
      <c r="D12" s="7">
        <f>Koeficienty!B10</f>
        <v>0.8</v>
      </c>
      <c r="E12" s="29">
        <f t="shared" si="2"/>
        <v>48.98286539840565</v>
      </c>
      <c r="F12" s="29">
        <f>IF(E12=" "," ",E12*Koeficienty!$B$25)</f>
        <v>51.432008668325935</v>
      </c>
      <c r="G12" s="30">
        <f t="shared" si="0"/>
        <v>146.94859619521696</v>
      </c>
      <c r="H12" s="29">
        <f t="shared" si="1"/>
        <v>1489.8954892015051</v>
      </c>
      <c r="I12" s="29">
        <f>IF(H12=" "," ",H12*Koeficienty!$B$25)</f>
        <v>1564.3902636615805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>
        <v>9</v>
      </c>
      <c r="C14" s="7">
        <f>B14*4</f>
        <v>36</v>
      </c>
      <c r="D14" s="7">
        <f>Koeficienty!B14</f>
        <v>0.7</v>
      </c>
      <c r="E14" s="29">
        <f t="shared" si="2"/>
        <v>42.86000722360494</v>
      </c>
      <c r="F14" s="29">
        <f>IF(E14=" "," ",E14*Koeficienty!$B$25)</f>
        <v>45.00300758478519</v>
      </c>
      <c r="G14" s="30">
        <f t="shared" si="0"/>
        <v>1542.9602600497778</v>
      </c>
      <c r="H14" s="29">
        <f t="shared" si="1"/>
        <v>1303.6585530513169</v>
      </c>
      <c r="I14" s="29">
        <f>IF(H14=" "," ",H14*Koeficienty!$B$25)</f>
        <v>1368.8414807038828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373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373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67.62639400974585</v>
      </c>
      <c r="C21" s="32"/>
      <c r="D21" s="32"/>
      <c r="E21" s="22"/>
      <c r="F21" s="22"/>
      <c r="G21" s="30"/>
      <c r="H21" s="33">
        <f>B21*365/12</f>
        <v>2056.969484463103</v>
      </c>
      <c r="I21" s="22"/>
      <c r="J21" s="23"/>
    </row>
    <row r="22" spans="1:10" ht="12.75">
      <c r="A22" s="16" t="s">
        <v>5</v>
      </c>
      <c r="B22" s="34">
        <f>B20*B21</f>
        <v>25224.6449656352</v>
      </c>
      <c r="C22" s="35"/>
      <c r="D22" s="35"/>
      <c r="E22" s="30"/>
      <c r="F22" s="30"/>
      <c r="G22" s="36">
        <f>SUM(G8:G17)</f>
        <v>25224.644965635205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54</v>
      </c>
      <c r="B2" s="10"/>
      <c r="C2" s="41"/>
      <c r="D2" s="41"/>
      <c r="E2" s="12" t="s">
        <v>70</v>
      </c>
      <c r="F2" s="12"/>
      <c r="G2" s="13"/>
      <c r="H2" s="12" t="s">
        <v>71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'Plzeňské koleje'!C3</f>
        <v>63.64434836909571</v>
      </c>
      <c r="F4" s="21"/>
      <c r="G4" s="7"/>
      <c r="H4" s="22">
        <f>E4*365/12</f>
        <v>1935.8489295599945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/>
      <c r="C10" s="7">
        <f>B10*2</f>
        <v>0</v>
      </c>
      <c r="D10" s="7">
        <f>Koeficienty!B6</f>
        <v>1</v>
      </c>
      <c r="E10" s="29">
        <f>B22/(C8*D8+C9*D9+C10*D10+C11*D11+C12*D12+C13*D13+C14*D14+C15*D15+C16*D16+C17*D17)</f>
        <v>61.8721315361507</v>
      </c>
      <c r="F10" s="42">
        <f>IF(E10=" "," ",E10*Koeficienty!$B$25)</f>
        <v>64.96573811295823</v>
      </c>
      <c r="G10" s="30">
        <f t="shared" si="0"/>
        <v>0</v>
      </c>
      <c r="H10" s="42">
        <f t="shared" si="1"/>
        <v>1881.9440008912504</v>
      </c>
      <c r="I10" s="42">
        <f>IF(H10=" "," ",H10*Koeficienty!$B$25)</f>
        <v>1976.041200935813</v>
      </c>
      <c r="J10" s="23"/>
    </row>
    <row r="11" spans="1:10" ht="12.75">
      <c r="A11" s="28" t="s">
        <v>62</v>
      </c>
      <c r="B11" s="7">
        <v>47</v>
      </c>
      <c r="C11" s="7">
        <f>B11*2</f>
        <v>94</v>
      </c>
      <c r="D11" s="7">
        <f>Koeficienty!B8</f>
        <v>1.15</v>
      </c>
      <c r="E11" s="29">
        <f aca="true" t="shared" si="2" ref="E11:E17">IF(B11&gt;0,$E$10*D11," ")</f>
        <v>71.1529512665733</v>
      </c>
      <c r="F11" s="29">
        <f>IF(E11=" "," ",E11*Koeficienty!$B$25)</f>
        <v>74.71059882990197</v>
      </c>
      <c r="G11" s="30">
        <f t="shared" si="0"/>
        <v>6688.37741905789</v>
      </c>
      <c r="H11" s="29">
        <f t="shared" si="1"/>
        <v>2164.2356010249378</v>
      </c>
      <c r="I11" s="29">
        <f>IF(H11=" "," ",H11*Koeficienty!$B$25)</f>
        <v>2272.4473810761847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>
        <v>35</v>
      </c>
      <c r="C13" s="7">
        <f>B13*3</f>
        <v>105</v>
      </c>
      <c r="D13" s="7">
        <f>Koeficienty!B12</f>
        <v>0.9199999999999999</v>
      </c>
      <c r="E13" s="29">
        <f t="shared" si="2"/>
        <v>56.92236101325864</v>
      </c>
      <c r="F13" s="29">
        <f>IF(E13=" "," ",E13*Koeficienty!$B$25)</f>
        <v>59.768479063921575</v>
      </c>
      <c r="G13" s="30">
        <f t="shared" si="0"/>
        <v>5976.847906392157</v>
      </c>
      <c r="H13" s="29">
        <f t="shared" si="1"/>
        <v>1731.3884808199502</v>
      </c>
      <c r="I13" s="29">
        <f>IF(H13=" "," ",H13*Koeficienty!$B$25)</f>
        <v>1817.9579048609478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199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199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63.64434836909571</v>
      </c>
      <c r="C21" s="32"/>
      <c r="D21" s="32"/>
      <c r="E21" s="22"/>
      <c r="F21" s="22"/>
      <c r="G21" s="30"/>
      <c r="H21" s="33">
        <f>B21*365/12</f>
        <v>1935.8489295599945</v>
      </c>
      <c r="I21" s="22"/>
      <c r="J21" s="23"/>
    </row>
    <row r="22" spans="1:10" ht="12.75">
      <c r="A22" s="16" t="s">
        <v>5</v>
      </c>
      <c r="B22" s="34">
        <f>B20*B21</f>
        <v>12665.225325450047</v>
      </c>
      <c r="C22" s="35"/>
      <c r="D22" s="35"/>
      <c r="E22" s="30"/>
      <c r="F22" s="30"/>
      <c r="G22" s="36">
        <f>SUM(G8:G17)</f>
        <v>12665.225325450047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42"/>
  </sheetPr>
  <dimension ref="A1:Q3"/>
  <sheetViews>
    <sheetView showZeros="0" zoomScale="130" zoomScaleNormal="130" workbookViewId="0" topLeftCell="A1">
      <pane xSplit="2" ySplit="3" topLeftCell="C4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F11" sqref="F11"/>
    </sheetView>
  </sheetViews>
  <sheetFormatPr defaultColWidth="9.140625" defaultRowHeight="12.75"/>
  <cols>
    <col min="1" max="1" width="20.7109375" style="4" customWidth="1"/>
    <col min="2" max="5" width="7.8515625" style="3" customWidth="1"/>
    <col min="6" max="6" width="8.140625" style="3" customWidth="1"/>
    <col min="7" max="17" width="7.28125" style="3" customWidth="1"/>
    <col min="18" max="16384" width="9.140625" style="3" customWidth="1"/>
  </cols>
  <sheetData>
    <row r="1" spans="1:17" ht="10.5" customHeight="1">
      <c r="A1" s="58" t="s">
        <v>93</v>
      </c>
      <c r="B1" s="70" t="s">
        <v>9</v>
      </c>
      <c r="C1" s="70" t="s">
        <v>10</v>
      </c>
      <c r="D1" s="70" t="s">
        <v>11</v>
      </c>
      <c r="E1" s="72" t="s">
        <v>12</v>
      </c>
      <c r="F1" s="72" t="s">
        <v>13</v>
      </c>
      <c r="G1" s="70" t="s">
        <v>14</v>
      </c>
      <c r="H1" s="70" t="s">
        <v>15</v>
      </c>
      <c r="I1" s="72" t="s">
        <v>16</v>
      </c>
      <c r="J1" s="72" t="s">
        <v>17</v>
      </c>
      <c r="K1" s="70" t="s">
        <v>18</v>
      </c>
      <c r="L1" s="70" t="s">
        <v>19</v>
      </c>
      <c r="M1" s="70" t="s">
        <v>20</v>
      </c>
      <c r="N1" s="70" t="s">
        <v>21</v>
      </c>
      <c r="O1" s="72" t="s">
        <v>22</v>
      </c>
      <c r="P1" s="70" t="s">
        <v>23</v>
      </c>
      <c r="Q1" s="74" t="s">
        <v>24</v>
      </c>
    </row>
    <row r="2" spans="1:17" ht="51.75" customHeight="1">
      <c r="A2" s="59" t="s">
        <v>25</v>
      </c>
      <c r="B2" s="71"/>
      <c r="C2" s="71"/>
      <c r="D2" s="71"/>
      <c r="E2" s="73"/>
      <c r="F2" s="73"/>
      <c r="G2" s="71"/>
      <c r="H2" s="71"/>
      <c r="I2" s="73"/>
      <c r="J2" s="73"/>
      <c r="K2" s="71"/>
      <c r="L2" s="71"/>
      <c r="M2" s="71"/>
      <c r="N2" s="71"/>
      <c r="O2" s="73"/>
      <c r="P2" s="71"/>
      <c r="Q2" s="75"/>
    </row>
    <row r="3" spans="1:17" ht="20.25" customHeight="1" thickBot="1">
      <c r="A3" s="60" t="s">
        <v>94</v>
      </c>
      <c r="B3" s="61">
        <v>78.52427468002315</v>
      </c>
      <c r="C3" s="61">
        <v>121.42360334770113</v>
      </c>
      <c r="D3" s="61">
        <v>93.96145303601696</v>
      </c>
      <c r="E3" s="61">
        <v>82.68487748268193</v>
      </c>
      <c r="F3" s="61">
        <v>61.25331005624082</v>
      </c>
      <c r="G3" s="61">
        <v>64.63738629586443</v>
      </c>
      <c r="H3" s="61">
        <v>65.03435793278034</v>
      </c>
      <c r="I3" s="61">
        <v>78.15798516507182</v>
      </c>
      <c r="J3" s="61">
        <v>142.12907975096246</v>
      </c>
      <c r="K3" s="61">
        <v>67.73776808668268</v>
      </c>
      <c r="L3" s="61">
        <v>68.37817708832749</v>
      </c>
      <c r="M3" s="63" t="s">
        <v>95</v>
      </c>
      <c r="N3" s="61">
        <v>87.09069996480476</v>
      </c>
      <c r="O3" s="61">
        <v>63.671791505939154</v>
      </c>
      <c r="P3" s="61">
        <v>77.77852979723814</v>
      </c>
      <c r="Q3" s="62">
        <v>69.6755179759942</v>
      </c>
    </row>
  </sheetData>
  <mergeCells count="16">
    <mergeCell ref="B1:B2"/>
    <mergeCell ref="Q1:Q2"/>
    <mergeCell ref="O1:O2"/>
    <mergeCell ref="L1:L2"/>
    <mergeCell ref="N1:N2"/>
    <mergeCell ref="F1:F2"/>
    <mergeCell ref="P1:P2"/>
    <mergeCell ref="K1:K2"/>
    <mergeCell ref="I1:I2"/>
    <mergeCell ref="J1:J2"/>
    <mergeCell ref="M1:M2"/>
    <mergeCell ref="C1:C2"/>
    <mergeCell ref="D1:D2"/>
    <mergeCell ref="E1:E2"/>
    <mergeCell ref="H1:H2"/>
    <mergeCell ref="G1:G2"/>
  </mergeCells>
  <printOptions/>
  <pageMargins left="0.3937007874015748" right="0.3937007874015748" top="1.3779527559055118" bottom="0.5905511811023623" header="0.5118110236220472" footer="0.5118110236220472"/>
  <pageSetup horizontalDpi="600" verticalDpi="600" orientation="landscape" paperSize="9" r:id="rId1"/>
  <headerFooter alignWithMargins="0">
    <oddHeader>&amp;CPříloha k opatření rektora č. 22/2007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55</v>
      </c>
      <c r="B2" s="10"/>
      <c r="C2" s="10"/>
      <c r="D2" s="41"/>
      <c r="E2" s="12" t="s">
        <v>70</v>
      </c>
      <c r="F2" s="12"/>
      <c r="G2" s="13"/>
      <c r="H2" s="12" t="s">
        <v>71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'Plzeňské koleje'!D3</f>
        <v>68.02675090383411</v>
      </c>
      <c r="F4" s="21"/>
      <c r="G4" s="7"/>
      <c r="H4" s="22">
        <f>E4*365/12</f>
        <v>2069.1470066582874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54</v>
      </c>
      <c r="C10" s="7">
        <f>B10*2</f>
        <v>108</v>
      </c>
      <c r="D10" s="7">
        <f>Koeficienty!B6</f>
        <v>1</v>
      </c>
      <c r="E10" s="29">
        <f>B22/(C8*D8+C9*D9+C10*D10+C11*D11+C12*D12+C13*D13+C14*D14+C15*D15+C16*D16+C17*D17)</f>
        <v>68.33737533718495</v>
      </c>
      <c r="F10" s="29">
        <f>IF(E10=" "," ",E10*Koeficienty!$B$25)</f>
        <v>71.7542441040442</v>
      </c>
      <c r="G10" s="30">
        <f t="shared" si="0"/>
        <v>7380.436536415975</v>
      </c>
      <c r="H10" s="29">
        <f t="shared" si="1"/>
        <v>2078.5951665060425</v>
      </c>
      <c r="I10" s="29">
        <f>IF(H10=" "," ",H10*Koeficienty!$B$25)</f>
        <v>2182.524924831345</v>
      </c>
      <c r="J10" s="23"/>
    </row>
    <row r="11" spans="1:10" ht="12.75">
      <c r="A11" s="28" t="s">
        <v>62</v>
      </c>
      <c r="B11" s="7">
        <v>6</v>
      </c>
      <c r="C11" s="7">
        <f>B11*2</f>
        <v>12</v>
      </c>
      <c r="D11" s="7">
        <f>Koeficienty!B8</f>
        <v>1.15</v>
      </c>
      <c r="E11" s="29">
        <f aca="true" t="shared" si="2" ref="E11:E17">IF(B11&gt;0,$E$10*D11," ")</f>
        <v>78.5879816377627</v>
      </c>
      <c r="F11" s="29">
        <f>IF(E11=" "," ",E11*Koeficienty!$B$25)</f>
        <v>82.51738071965083</v>
      </c>
      <c r="G11" s="30">
        <f t="shared" si="0"/>
        <v>943.0557796531523</v>
      </c>
      <c r="H11" s="29">
        <f t="shared" si="1"/>
        <v>2390.3844414819487</v>
      </c>
      <c r="I11" s="29">
        <f>IF(H11=" "," ",H11*Koeficienty!$B$25)</f>
        <v>2509.903663556046</v>
      </c>
      <c r="J11" s="23"/>
    </row>
    <row r="12" spans="1:10" ht="12.75">
      <c r="A12" s="28" t="s">
        <v>58</v>
      </c>
      <c r="B12" s="7">
        <v>4</v>
      </c>
      <c r="C12" s="7">
        <f>B12*3</f>
        <v>12</v>
      </c>
      <c r="D12" s="7">
        <f>Koeficienty!B10</f>
        <v>0.8</v>
      </c>
      <c r="E12" s="29">
        <f t="shared" si="2"/>
        <v>54.66990026974796</v>
      </c>
      <c r="F12" s="29">
        <f>IF(E12=" "," ",E12*Koeficienty!$B$25)</f>
        <v>57.40339528323536</v>
      </c>
      <c r="G12" s="30">
        <f t="shared" si="0"/>
        <v>656.0388032369756</v>
      </c>
      <c r="H12" s="29">
        <f t="shared" si="1"/>
        <v>1662.8761332048336</v>
      </c>
      <c r="I12" s="29">
        <f>IF(H12=" "," ",H12*Koeficienty!$B$25)</f>
        <v>1746.0199398650755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132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132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68.02675090383411</v>
      </c>
      <c r="C21" s="32"/>
      <c r="D21" s="32"/>
      <c r="E21" s="22"/>
      <c r="F21" s="22"/>
      <c r="G21" s="30"/>
      <c r="H21" s="33">
        <f>B21*365/12</f>
        <v>2069.1470066582874</v>
      </c>
      <c r="I21" s="22"/>
      <c r="J21" s="23"/>
    </row>
    <row r="22" spans="1:10" ht="12.75">
      <c r="A22" s="16" t="s">
        <v>5</v>
      </c>
      <c r="B22" s="34">
        <f>B20*B21</f>
        <v>8979.531119306102</v>
      </c>
      <c r="C22" s="35"/>
      <c r="D22" s="35"/>
      <c r="E22" s="30"/>
      <c r="F22" s="30"/>
      <c r="G22" s="36">
        <f>SUM(G8:G17)</f>
        <v>8979.531119306102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>
    <tabColor indexed="42"/>
  </sheetPr>
  <dimension ref="A1:F3"/>
  <sheetViews>
    <sheetView showZeros="0" workbookViewId="0" topLeftCell="A1">
      <pane xSplit="2" ySplit="3" topLeftCell="C4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G25" sqref="G25"/>
    </sheetView>
  </sheetViews>
  <sheetFormatPr defaultColWidth="9.140625" defaultRowHeight="12.75"/>
  <cols>
    <col min="1" max="1" width="40.28125" style="4" customWidth="1"/>
    <col min="2" max="2" width="7.28125" style="3" customWidth="1"/>
    <col min="3" max="4" width="6.8515625" style="3" customWidth="1"/>
    <col min="5" max="5" width="9.57421875" style="3" customWidth="1"/>
    <col min="6" max="6" width="9.140625" style="3" hidden="1" customWidth="1"/>
    <col min="7" max="16384" width="9.140625" style="3" customWidth="1"/>
  </cols>
  <sheetData>
    <row r="1" spans="1:6" ht="10.5" customHeight="1">
      <c r="A1" s="58" t="s">
        <v>97</v>
      </c>
      <c r="B1" s="70" t="s">
        <v>47</v>
      </c>
      <c r="C1" s="70" t="s">
        <v>48</v>
      </c>
      <c r="D1" s="70" t="s">
        <v>49</v>
      </c>
      <c r="E1" s="74" t="s">
        <v>50</v>
      </c>
      <c r="F1" s="67"/>
    </row>
    <row r="2" spans="1:6" ht="41.25" customHeight="1">
      <c r="A2" s="59" t="s">
        <v>25</v>
      </c>
      <c r="B2" s="71"/>
      <c r="C2" s="71"/>
      <c r="D2" s="71"/>
      <c r="E2" s="75"/>
      <c r="F2" s="67"/>
    </row>
    <row r="3" spans="1:6" ht="20.25" customHeight="1" thickBot="1">
      <c r="A3" s="60" t="s">
        <v>94</v>
      </c>
      <c r="B3" s="61">
        <v>69.79729334401961</v>
      </c>
      <c r="C3" s="61">
        <v>65.33913030966906</v>
      </c>
      <c r="D3" s="61">
        <v>232.38731866171335</v>
      </c>
      <c r="E3" s="62">
        <v>66.30284637890956</v>
      </c>
      <c r="F3" s="67"/>
    </row>
  </sheetData>
  <mergeCells count="4">
    <mergeCell ref="B1:B2"/>
    <mergeCell ref="C1:C2"/>
    <mergeCell ref="D1:D2"/>
    <mergeCell ref="E1:E2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&amp;CPříloha k opatření rektora č. 22/2007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A1:J25"/>
  <sheetViews>
    <sheetView zoomScale="85" zoomScaleNormal="85" workbookViewId="0" topLeftCell="A2">
      <selection activeCell="D36" sqref="D36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52</v>
      </c>
      <c r="B2" s="13"/>
      <c r="C2" s="41"/>
      <c r="D2" s="41"/>
      <c r="E2" s="44" t="s">
        <v>68</v>
      </c>
      <c r="F2" s="12"/>
      <c r="G2" s="13"/>
      <c r="H2" s="44" t="s">
        <v>69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'Hradecké koleje'!B3</f>
        <v>69.79729334401961</v>
      </c>
      <c r="F4" s="21"/>
      <c r="G4" s="7"/>
      <c r="H4" s="22">
        <f>E4*365/12</f>
        <v>2123.0010058805965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597</v>
      </c>
      <c r="C10" s="7">
        <f>B10*2</f>
        <v>1194</v>
      </c>
      <c r="D10" s="7">
        <f>Koeficienty!B6</f>
        <v>1</v>
      </c>
      <c r="E10" s="29">
        <f>B22/(C8*D8+C9*D9+C10*D10+C11*D11+C12*D12+C13*D13+C14*D14+C15*D15+C16*D16+C17*D17)</f>
        <v>70.77074068626547</v>
      </c>
      <c r="F10" s="29">
        <f>IF(E10=" "," ",E10*Koeficienty!$B$25)</f>
        <v>74.30927772057875</v>
      </c>
      <c r="G10" s="30">
        <f t="shared" si="0"/>
        <v>84500.26437940096</v>
      </c>
      <c r="H10" s="29">
        <f t="shared" si="1"/>
        <v>2152.6100292072415</v>
      </c>
      <c r="I10" s="29">
        <f>IF(H10=" "," ",H10*Koeficienty!$B$25)</f>
        <v>2260.2405306676037</v>
      </c>
      <c r="J10" s="23"/>
    </row>
    <row r="11" spans="1:10" ht="12.75">
      <c r="A11" s="28" t="s">
        <v>62</v>
      </c>
      <c r="B11" s="7">
        <v>4</v>
      </c>
      <c r="C11" s="7">
        <f>B11*2</f>
        <v>8</v>
      </c>
      <c r="D11" s="7">
        <f>Koeficienty!B8</f>
        <v>1.15</v>
      </c>
      <c r="E11" s="29">
        <f aca="true" t="shared" si="2" ref="E11:E17">IF(B11&gt;0,$E$10*D11," ")</f>
        <v>81.38635178920528</v>
      </c>
      <c r="F11" s="29">
        <f>IF(E11=" "," ",E11*Koeficienty!$B$25)</f>
        <v>85.45566937866555</v>
      </c>
      <c r="G11" s="30">
        <f t="shared" si="0"/>
        <v>651.0908143136422</v>
      </c>
      <c r="H11" s="29">
        <f t="shared" si="1"/>
        <v>2475.501533588327</v>
      </c>
      <c r="I11" s="29">
        <f>IF(H11=" "," ",H11*Koeficienty!$B$25)</f>
        <v>2599.2766102677438</v>
      </c>
      <c r="J11" s="23"/>
    </row>
    <row r="12" spans="1:10" ht="12.75">
      <c r="A12" s="28" t="s">
        <v>58</v>
      </c>
      <c r="B12" s="7">
        <v>1</v>
      </c>
      <c r="C12" s="7">
        <f>B12*3</f>
        <v>3</v>
      </c>
      <c r="D12" s="7">
        <f>Koeficienty!B10</f>
        <v>0.8</v>
      </c>
      <c r="E12" s="29">
        <f t="shared" si="2"/>
        <v>56.61659254901238</v>
      </c>
      <c r="F12" s="29">
        <f>IF(E12=" "," ",E12*Koeficienty!$B$25)</f>
        <v>59.447422176463</v>
      </c>
      <c r="G12" s="30">
        <f t="shared" si="0"/>
        <v>169.84977764703714</v>
      </c>
      <c r="H12" s="29">
        <f t="shared" si="1"/>
        <v>1722.0880233657933</v>
      </c>
      <c r="I12" s="29">
        <f>IF(H12=" "," ",H12*Koeficienty!$B$25)</f>
        <v>1808.192424534083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>
        <v>15</v>
      </c>
      <c r="C14" s="7">
        <f>B14*4</f>
        <v>60</v>
      </c>
      <c r="D14" s="7">
        <f>Koeficienty!B14</f>
        <v>0.7</v>
      </c>
      <c r="E14" s="29">
        <f t="shared" si="2"/>
        <v>49.53951848038582</v>
      </c>
      <c r="F14" s="29">
        <f>IF(E14=" "," ",E14*Koeficienty!$B$25)</f>
        <v>52.016494404405115</v>
      </c>
      <c r="G14" s="30">
        <f t="shared" si="0"/>
        <v>2972.3711088231494</v>
      </c>
      <c r="H14" s="29">
        <f t="shared" si="1"/>
        <v>1506.827020445069</v>
      </c>
      <c r="I14" s="29">
        <f>IF(H14=" "," ",H14*Koeficienty!$B$25)</f>
        <v>1582.1683714673225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1265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1265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69.79729334401961</v>
      </c>
      <c r="C21" s="32"/>
      <c r="D21" s="32"/>
      <c r="E21" s="22"/>
      <c r="F21" s="22"/>
      <c r="G21" s="30"/>
      <c r="H21" s="33">
        <f>B21*365/12</f>
        <v>2123.0010058805965</v>
      </c>
      <c r="I21" s="22"/>
      <c r="J21" s="23"/>
    </row>
    <row r="22" spans="1:10" ht="12.75">
      <c r="A22" s="16" t="s">
        <v>5</v>
      </c>
      <c r="B22" s="34">
        <f>B20*B21</f>
        <v>88293.57608018481</v>
      </c>
      <c r="C22" s="35"/>
      <c r="D22" s="35"/>
      <c r="E22" s="30"/>
      <c r="F22" s="30"/>
      <c r="G22" s="36">
        <f>SUM(G8:G17)</f>
        <v>88293.5760801848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7"/>
  <dimension ref="A1:J32"/>
  <sheetViews>
    <sheetView zoomScale="85" zoomScaleNormal="85" workbookViewId="0" topLeftCell="A2">
      <selection activeCell="E18" sqref="E18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51</v>
      </c>
      <c r="B2" s="10"/>
      <c r="C2" s="41"/>
      <c r="D2" s="41"/>
      <c r="E2" s="44" t="s">
        <v>68</v>
      </c>
      <c r="F2" s="12"/>
      <c r="G2" s="13"/>
      <c r="H2" s="44" t="s">
        <v>69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'Hradecké koleje'!C3</f>
        <v>65.33913030966906</v>
      </c>
      <c r="F4" s="21"/>
      <c r="G4" s="7"/>
      <c r="H4" s="22">
        <f>E4*365/12</f>
        <v>1987.3985469191005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/>
      <c r="C10" s="7">
        <f>B10*2</f>
        <v>0</v>
      </c>
      <c r="D10" s="7">
        <f>Koeficienty!B6</f>
        <v>1</v>
      </c>
      <c r="E10" s="29">
        <f>B22/(C8*D8+C9*D9+C10*D10+C11*D11+C12*D12+C13*D13+C14*D14+C15*D15+C16*D16+C17*D17)</f>
        <v>64.56435801350698</v>
      </c>
      <c r="F10" s="42">
        <f>IF(E10=" "," ",E10*Koeficienty!$B$25)</f>
        <v>67.79257591418232</v>
      </c>
      <c r="G10" s="30">
        <f t="shared" si="0"/>
        <v>0</v>
      </c>
      <c r="H10" s="42">
        <f t="shared" si="1"/>
        <v>1963.8325562441705</v>
      </c>
      <c r="I10" s="42">
        <f>IF(H10=" "," ",H10*Koeficienty!$B$25)</f>
        <v>2062.024184056379</v>
      </c>
      <c r="J10" s="23"/>
    </row>
    <row r="11" spans="1:10" ht="12.75">
      <c r="A11" s="28" t="s">
        <v>62</v>
      </c>
      <c r="B11" s="7">
        <v>46</v>
      </c>
      <c r="C11" s="7">
        <f>B11*2</f>
        <v>92</v>
      </c>
      <c r="D11" s="7">
        <f>Koeficienty!B8</f>
        <v>1.15</v>
      </c>
      <c r="E11" s="29">
        <f aca="true" t="shared" si="2" ref="E11:E17">IF(B11&gt;0,$E$10*D11," ")</f>
        <v>74.24901171553302</v>
      </c>
      <c r="F11" s="29">
        <f>IF(E11=" "," ",E11*Koeficienty!$B$25)</f>
        <v>77.96146230130967</v>
      </c>
      <c r="G11" s="30">
        <f t="shared" si="0"/>
        <v>6830.909077829037</v>
      </c>
      <c r="H11" s="29">
        <f t="shared" si="1"/>
        <v>2258.407439680796</v>
      </c>
      <c r="I11" s="29">
        <f>IF(H11=" "," ",H11*Koeficienty!$B$25)</f>
        <v>2371.3278116648357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>
        <v>46</v>
      </c>
      <c r="C13" s="7">
        <f>B13*3</f>
        <v>138</v>
      </c>
      <c r="D13" s="7">
        <f>Koeficienty!B12</f>
        <v>0.9199999999999999</v>
      </c>
      <c r="E13" s="29">
        <f t="shared" si="2"/>
        <v>59.39920937242641</v>
      </c>
      <c r="F13" s="29">
        <f>IF(E13=" "," ",E13*Koeficienty!$B$25)</f>
        <v>62.369169841047736</v>
      </c>
      <c r="G13" s="30">
        <f t="shared" si="0"/>
        <v>8197.090893394845</v>
      </c>
      <c r="H13" s="29">
        <f t="shared" si="1"/>
        <v>1806.7259517446366</v>
      </c>
      <c r="I13" s="29">
        <f>IF(H13=" "," ",H13*Koeficienty!$B$25)</f>
        <v>1897.0622493318685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230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230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65.33913030966906</v>
      </c>
      <c r="C21" s="32"/>
      <c r="D21" s="32"/>
      <c r="E21" s="22"/>
      <c r="F21" s="22"/>
      <c r="G21" s="30"/>
      <c r="H21" s="33">
        <f>B21*365/12</f>
        <v>1987.3985469191005</v>
      </c>
      <c r="I21" s="22"/>
      <c r="J21" s="23"/>
    </row>
    <row r="22" spans="1:10" ht="12.75">
      <c r="A22" s="16" t="s">
        <v>5</v>
      </c>
      <c r="B22" s="34">
        <f>B20*B21</f>
        <v>15027.999971223884</v>
      </c>
      <c r="C22" s="35"/>
      <c r="D22" s="35"/>
      <c r="E22" s="30"/>
      <c r="F22" s="30"/>
      <c r="G22" s="36">
        <f>SUM(G8:G17)</f>
        <v>15027.999971223882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&amp;CPříloha k opatření rektora č. 22/2007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32"/>
  <sheetViews>
    <sheetView zoomScale="115" zoomScaleNormal="11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42187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1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koleje'!B3</f>
        <v>78.52427468002315</v>
      </c>
      <c r="F4" s="21"/>
      <c r="G4" s="7"/>
      <c r="H4" s="22">
        <f>E4*365/12</f>
        <v>2388.4466881840376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>
        <v>5</v>
      </c>
      <c r="C8" s="7">
        <f>B8*1</f>
        <v>5</v>
      </c>
      <c r="D8" s="7">
        <f>Koeficienty!B2</f>
        <v>1.25</v>
      </c>
      <c r="E8" s="29">
        <f>IF(B8&gt;0,$E$10*D8," ")</f>
        <v>124.43564038483537</v>
      </c>
      <c r="F8" s="29">
        <f>IF(E8=" "," ",E8*Koeficienty!$B$25)</f>
        <v>130.65742240407715</v>
      </c>
      <c r="G8" s="30">
        <f>IF(E8=" "," ",E8*C8)</f>
        <v>622.1782019241768</v>
      </c>
      <c r="H8" s="29">
        <f>IF(E8=" "," ",E8*365/12)</f>
        <v>3784.9173950387426</v>
      </c>
      <c r="I8" s="29">
        <f>IF(H8=" "," ",H8*Koeficienty!$B$25)</f>
        <v>3974.16326479068</v>
      </c>
      <c r="J8" s="23"/>
    </row>
    <row r="9" spans="1:10" ht="12.75">
      <c r="A9" s="28" t="s">
        <v>61</v>
      </c>
      <c r="B9" s="7">
        <v>2</v>
      </c>
      <c r="C9" s="7">
        <f>B9*1</f>
        <v>2</v>
      </c>
      <c r="D9" s="7">
        <f>Koeficienty!B4</f>
        <v>1.4375</v>
      </c>
      <c r="E9" s="29">
        <f>IF(B9&gt;0,$E$10*D9," ")</f>
        <v>143.10098644256067</v>
      </c>
      <c r="F9" s="29">
        <f>IF(E9=" "," ",E9*Koeficienty!$B$25)</f>
        <v>150.2560357646887</v>
      </c>
      <c r="G9" s="30">
        <f aca="true" t="shared" si="0" ref="G9:G17">IF(E9=" "," ",E9*C9)</f>
        <v>286.20197288512134</v>
      </c>
      <c r="H9" s="29">
        <f aca="true" t="shared" si="1" ref="H9:H17">IF(E9=" "," ",E9*365/12)</f>
        <v>4352.655004294554</v>
      </c>
      <c r="I9" s="29">
        <f>IF(H9=" "," ",H9*Koeficienty!$B$25)</f>
        <v>4570.2877545092815</v>
      </c>
      <c r="J9" s="23"/>
    </row>
    <row r="10" spans="1:10" ht="12.75">
      <c r="A10" s="28" t="s">
        <v>57</v>
      </c>
      <c r="B10" s="7">
        <v>39</v>
      </c>
      <c r="C10" s="7">
        <f>B10*2</f>
        <v>78</v>
      </c>
      <c r="D10" s="7">
        <f>Koeficienty!B6</f>
        <v>1</v>
      </c>
      <c r="E10" s="29">
        <f>B22/(C8*D8+C9*D9+C10*D10+C11*D11+C12*D12+C13*D13+C14*D14+C15*D15+C16*D16+C17*D17)</f>
        <v>99.5485123078683</v>
      </c>
      <c r="F10" s="29">
        <f>IF(E10=" "," ",E10*Koeficienty!$B$25)</f>
        <v>104.52593792326171</v>
      </c>
      <c r="G10" s="30">
        <f t="shared" si="0"/>
        <v>7764.783960013727</v>
      </c>
      <c r="H10" s="29">
        <f t="shared" si="1"/>
        <v>3027.9339160309937</v>
      </c>
      <c r="I10" s="29">
        <f>IF(H10=" "," ",H10*Koeficienty!$B$25)</f>
        <v>3179.3306118325436</v>
      </c>
      <c r="J10" s="23"/>
    </row>
    <row r="11" spans="1:10" ht="12.75">
      <c r="A11" s="28" t="s">
        <v>62</v>
      </c>
      <c r="B11" s="7"/>
      <c r="C11" s="7">
        <f>B11*2</f>
        <v>0</v>
      </c>
      <c r="D11" s="7">
        <f>Koeficienty!B8</f>
        <v>1.15</v>
      </c>
      <c r="E11" s="29" t="str">
        <f aca="true" t="shared" si="2" ref="E11:E17">IF(B11&gt;0,$E$10*D11," ")</f>
        <v> </v>
      </c>
      <c r="F11" s="29" t="str">
        <f>IF(E11=" "," ",E11*Koeficienty!$B$25)</f>
        <v> </v>
      </c>
      <c r="G11" s="30" t="str">
        <f t="shared" si="0"/>
        <v> </v>
      </c>
      <c r="H11" s="29" t="str">
        <f t="shared" si="1"/>
        <v> </v>
      </c>
      <c r="I11" s="29" t="str">
        <f>IF(H11=" "," ",H11*Koeficienty!$B$25)</f>
        <v> </v>
      </c>
      <c r="J11" s="23"/>
    </row>
    <row r="12" spans="1:10" ht="12.75">
      <c r="A12" s="28" t="s">
        <v>58</v>
      </c>
      <c r="B12" s="7">
        <v>39</v>
      </c>
      <c r="C12" s="7">
        <f>B12*3</f>
        <v>117</v>
      </c>
      <c r="D12" s="7">
        <f>Koeficienty!B10</f>
        <v>0.8</v>
      </c>
      <c r="E12" s="29">
        <f t="shared" si="2"/>
        <v>79.63880984629463</v>
      </c>
      <c r="F12" s="29">
        <f>IF(E12=" "," ",E12*Koeficienty!$B$25)</f>
        <v>83.62075033860937</v>
      </c>
      <c r="G12" s="30">
        <f t="shared" si="0"/>
        <v>9317.740752016472</v>
      </c>
      <c r="H12" s="29">
        <f t="shared" si="1"/>
        <v>2422.347132824795</v>
      </c>
      <c r="I12" s="29">
        <f>IF(H12=" "," ",H12*Koeficienty!$B$25)</f>
        <v>2543.464489466035</v>
      </c>
      <c r="J12" s="23"/>
    </row>
    <row r="13" spans="1:10" ht="12.75">
      <c r="A13" s="28" t="s">
        <v>63</v>
      </c>
      <c r="B13" s="7">
        <v>1</v>
      </c>
      <c r="C13" s="7">
        <f>B13*3</f>
        <v>3</v>
      </c>
      <c r="D13" s="7">
        <f>Koeficienty!B12</f>
        <v>0.9199999999999999</v>
      </c>
      <c r="E13" s="29">
        <f t="shared" si="2"/>
        <v>91.58463132323882</v>
      </c>
      <c r="F13" s="29">
        <f>IF(E13=" "," ",E13*Koeficienty!$B$25)</f>
        <v>96.16386288940078</v>
      </c>
      <c r="G13" s="30">
        <f t="shared" si="0"/>
        <v>274.7538939697165</v>
      </c>
      <c r="H13" s="29">
        <f t="shared" si="1"/>
        <v>2785.6992027485144</v>
      </c>
      <c r="I13" s="29">
        <f>IF(H13=" "," ",H13*Koeficienty!$B$25)</f>
        <v>2924.9841628859403</v>
      </c>
      <c r="J13" s="23"/>
    </row>
    <row r="14" spans="1:10" ht="12.75">
      <c r="A14" s="28" t="s">
        <v>59</v>
      </c>
      <c r="B14" s="7">
        <v>56</v>
      </c>
      <c r="C14" s="7">
        <f>B14*4</f>
        <v>224</v>
      </c>
      <c r="D14" s="7">
        <f>Koeficienty!B14</f>
        <v>0.7</v>
      </c>
      <c r="E14" s="29">
        <f t="shared" si="2"/>
        <v>69.6839586155078</v>
      </c>
      <c r="F14" s="29">
        <f>IF(E14=" "," ",E14*Koeficienty!$B$25)</f>
        <v>73.1681565462832</v>
      </c>
      <c r="G14" s="30">
        <f t="shared" si="0"/>
        <v>15609.20672987375</v>
      </c>
      <c r="H14" s="29">
        <f t="shared" si="1"/>
        <v>2119.553741221696</v>
      </c>
      <c r="I14" s="29">
        <f>IF(H14=" "," ",H14*Koeficienty!$B$25)</f>
        <v>2225.531428282781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>
        <v>2</v>
      </c>
      <c r="C16" s="7">
        <f>B16*5</f>
        <v>10</v>
      </c>
      <c r="D16" s="7">
        <f>Koeficienty!B18</f>
        <v>0.6</v>
      </c>
      <c r="E16" s="29">
        <f t="shared" si="2"/>
        <v>59.729107384720976</v>
      </c>
      <c r="F16" s="29">
        <f>IF(E16=" "," ",E16*Koeficienty!$B$25)</f>
        <v>62.71556275395703</v>
      </c>
      <c r="G16" s="30">
        <f t="shared" si="0"/>
        <v>597.2910738472098</v>
      </c>
      <c r="H16" s="29">
        <f t="shared" si="1"/>
        <v>1816.7603496185964</v>
      </c>
      <c r="I16" s="29">
        <f>IF(H16=" "," ",H16*Koeficienty!$B$25)</f>
        <v>1907.5983670995263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439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439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78.52427468002315</v>
      </c>
      <c r="C21" s="32"/>
      <c r="D21" s="32"/>
      <c r="E21" s="22"/>
      <c r="F21" s="22"/>
      <c r="G21" s="30"/>
      <c r="H21" s="33">
        <f>B21*365/12</f>
        <v>2388.4466881840376</v>
      </c>
      <c r="I21" s="22"/>
      <c r="J21" s="23"/>
    </row>
    <row r="22" spans="1:10" ht="12.75">
      <c r="A22" s="16" t="s">
        <v>5</v>
      </c>
      <c r="B22" s="34">
        <f>B20*B21</f>
        <v>34472.15658453017</v>
      </c>
      <c r="C22" s="35"/>
      <c r="D22" s="35"/>
      <c r="E22" s="30"/>
      <c r="F22" s="30"/>
      <c r="G22" s="36">
        <f>SUM(G8:G17)</f>
        <v>34472.156584530174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16"/>
      <c r="B24" s="7"/>
      <c r="C24" s="7"/>
      <c r="D24" s="7"/>
      <c r="E24" s="22"/>
      <c r="F24" s="22"/>
      <c r="G24" s="22"/>
      <c r="H24" s="22"/>
      <c r="I24" s="22"/>
      <c r="J24" s="23"/>
    </row>
    <row r="25" spans="1:10" ht="12.75">
      <c r="A25" s="37"/>
      <c r="B25" s="38"/>
      <c r="C25" s="38"/>
      <c r="D25" s="38"/>
      <c r="E25" s="39"/>
      <c r="F25" s="39"/>
      <c r="G25" s="39"/>
      <c r="H25" s="39"/>
      <c r="I25" s="39"/>
      <c r="J25" s="40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42187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32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koleje'!C3</f>
        <v>121.42360334770113</v>
      </c>
      <c r="F4" s="21"/>
      <c r="G4" s="7"/>
      <c r="H4" s="22">
        <f>E4*365/12</f>
        <v>3693.301268492576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>
        <v>28</v>
      </c>
      <c r="C9" s="7">
        <f>B9*1</f>
        <v>28</v>
      </c>
      <c r="D9" s="7">
        <f>Koeficienty!B4</f>
        <v>1.4375</v>
      </c>
      <c r="E9" s="29">
        <f>IF(B9&gt;0,$E$10*D9," ")</f>
        <v>138.6627569094118</v>
      </c>
      <c r="F9" s="29">
        <f>IF(E9=" "," ",E9*Koeficienty!$B$25)</f>
        <v>145.59589475488238</v>
      </c>
      <c r="G9" s="30">
        <f aca="true" t="shared" si="0" ref="G9:G17">IF(E9=" "," ",E9*C9)</f>
        <v>3882.5571934635304</v>
      </c>
      <c r="H9" s="29">
        <f aca="true" t="shared" si="1" ref="H9:H17">IF(E9=" "," ",E9*365/12)</f>
        <v>4217.658855994609</v>
      </c>
      <c r="I9" s="29">
        <f>IF(H9=" "," ",H9*Koeficienty!$B$25)</f>
        <v>4428.54179879434</v>
      </c>
      <c r="J9" s="23"/>
    </row>
    <row r="10" spans="1:10" ht="12.75">
      <c r="A10" s="28" t="s">
        <v>57</v>
      </c>
      <c r="B10" s="7"/>
      <c r="C10" s="7">
        <f>B10*2</f>
        <v>0</v>
      </c>
      <c r="D10" s="7">
        <f>Koeficienty!B6</f>
        <v>1</v>
      </c>
      <c r="E10" s="29">
        <f>B22/(C8*D8+C9*D9+C10*D10+C11*D11+C12*D12+C13*D13+C14*D14+C15*D15+C16*D16+C17*D17)</f>
        <v>96.4610482848082</v>
      </c>
      <c r="F10" s="42">
        <f>IF(E10=" "," ",E10*Koeficienty!$B$25)</f>
        <v>101.28410069904861</v>
      </c>
      <c r="G10" s="30">
        <f t="shared" si="0"/>
        <v>0</v>
      </c>
      <c r="H10" s="42">
        <f t="shared" si="1"/>
        <v>2934.0235519962494</v>
      </c>
      <c r="I10" s="42">
        <f>IF(H10=" "," ",H10*Koeficienty!$B$25)</f>
        <v>3080.724729596062</v>
      </c>
      <c r="J10" s="23"/>
    </row>
    <row r="11" spans="1:10" ht="12.75">
      <c r="A11" s="28" t="s">
        <v>62</v>
      </c>
      <c r="B11" s="7">
        <v>23</v>
      </c>
      <c r="C11" s="7">
        <f>B11*2</f>
        <v>46</v>
      </c>
      <c r="D11" s="7">
        <f>Koeficienty!B8</f>
        <v>1.15</v>
      </c>
      <c r="E11" s="29">
        <f aca="true" t="shared" si="2" ref="E11:E17">IF(B11&gt;0,$E$10*D11," ")</f>
        <v>110.93020552752942</v>
      </c>
      <c r="F11" s="29">
        <f>IF(E11=" "," ",E11*Koeficienty!$B$25)</f>
        <v>116.4767158039059</v>
      </c>
      <c r="G11" s="30">
        <f t="shared" si="0"/>
        <v>5102.7894542663535</v>
      </c>
      <c r="H11" s="29">
        <f t="shared" si="1"/>
        <v>3374.127084795686</v>
      </c>
      <c r="I11" s="29">
        <f>IF(H11=" "," ",H11*Koeficienty!$B$25)</f>
        <v>3542.8334390354707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74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74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121.42360334770113</v>
      </c>
      <c r="C21" s="32"/>
      <c r="D21" s="32"/>
      <c r="E21" s="22"/>
      <c r="F21" s="22"/>
      <c r="G21" s="30"/>
      <c r="H21" s="33">
        <f>B21*365/12</f>
        <v>3693.301268492576</v>
      </c>
      <c r="I21" s="22"/>
      <c r="J21" s="23"/>
    </row>
    <row r="22" spans="1:10" ht="12.75">
      <c r="A22" s="16" t="s">
        <v>5</v>
      </c>
      <c r="B22" s="34">
        <f>B20*B21</f>
        <v>8985.346647729884</v>
      </c>
      <c r="C22" s="35"/>
      <c r="D22" s="35"/>
      <c r="E22" s="30"/>
      <c r="F22" s="30"/>
      <c r="G22" s="36">
        <f>SUM(G8:G17)</f>
        <v>8985.346647729884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16"/>
      <c r="B24" s="7"/>
      <c r="C24" s="7"/>
      <c r="D24" s="7"/>
      <c r="E24" s="22"/>
      <c r="F24" s="22"/>
      <c r="G24" s="22"/>
      <c r="H24" s="22"/>
      <c r="I24" s="22"/>
      <c r="J24" s="23"/>
    </row>
    <row r="25" spans="1:10" ht="12.75">
      <c r="A25" s="37"/>
      <c r="B25" s="38"/>
      <c r="C25" s="38"/>
      <c r="D25" s="38"/>
      <c r="E25" s="39"/>
      <c r="F25" s="39"/>
      <c r="G25" s="39"/>
      <c r="H25" s="39"/>
      <c r="I25" s="39"/>
      <c r="J25" s="40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710937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31</v>
      </c>
      <c r="B2" s="10"/>
      <c r="C2" s="10"/>
      <c r="D2" s="1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koleje'!D3</f>
        <v>93.96145303601696</v>
      </c>
      <c r="F4" s="21"/>
      <c r="G4" s="7"/>
      <c r="H4" s="22">
        <f>E4*365/12</f>
        <v>2857.994196512183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/>
      <c r="C8" s="7">
        <f>B8*1</f>
        <v>0</v>
      </c>
      <c r="D8" s="7">
        <f>Koeficienty!B2</f>
        <v>1.25</v>
      </c>
      <c r="E8" s="29" t="str">
        <f>IF(B8&gt;0,$E$10*D8," ")</f>
        <v> </v>
      </c>
      <c r="F8" s="29" t="str">
        <f>IF(E8=" "," ",E8*Koeficienty!$B$25)</f>
        <v> </v>
      </c>
      <c r="G8" s="30" t="str">
        <f>IF(E8=" "," ",E8*C8)</f>
        <v> </v>
      </c>
      <c r="H8" s="29" t="str">
        <f>IF(E8=" "," ",E8*365/12)</f>
        <v> </v>
      </c>
      <c r="I8" s="29" t="str">
        <f>IF(H8=" "," ",H8*Koeficienty!$B$25)</f>
        <v> 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16</v>
      </c>
      <c r="C10" s="7">
        <f>B10*2</f>
        <v>32</v>
      </c>
      <c r="D10" s="7">
        <f>Koeficienty!B6</f>
        <v>1</v>
      </c>
      <c r="E10" s="29">
        <f>B22/(C8*D8+C9*D9+C10*D10+C11*D11+C12*D12+C13*D13+C14*D14+C15*D15+C16*D16+C17*D17)</f>
        <v>121.61420731934398</v>
      </c>
      <c r="F10" s="29">
        <f>IF(E10=" "," ",E10*Koeficienty!$B$25)</f>
        <v>127.69491768531118</v>
      </c>
      <c r="G10" s="30">
        <f t="shared" si="0"/>
        <v>3891.654634219007</v>
      </c>
      <c r="H10" s="29">
        <f t="shared" si="1"/>
        <v>3699.0988059633796</v>
      </c>
      <c r="I10" s="29">
        <f>IF(H10=" "," ",H10*Koeficienty!$B$25)</f>
        <v>3884.053746261549</v>
      </c>
      <c r="J10" s="23"/>
    </row>
    <row r="11" spans="1:10" ht="12.75">
      <c r="A11" s="28" t="s">
        <v>62</v>
      </c>
      <c r="B11" s="7"/>
      <c r="C11" s="7">
        <f>B11*2</f>
        <v>0</v>
      </c>
      <c r="D11" s="7">
        <f>Koeficienty!B8</f>
        <v>1.15</v>
      </c>
      <c r="E11" s="29" t="str">
        <f aca="true" t="shared" si="2" ref="E11:E17">IF(B11&gt;0,$E$10*D11," ")</f>
        <v> </v>
      </c>
      <c r="F11" s="29" t="str">
        <f>IF(E11=" "," ",E11*Koeficienty!$B$25)</f>
        <v> </v>
      </c>
      <c r="G11" s="30" t="str">
        <f t="shared" si="0"/>
        <v> </v>
      </c>
      <c r="H11" s="29" t="str">
        <f t="shared" si="1"/>
        <v> </v>
      </c>
      <c r="I11" s="29" t="str">
        <f>IF(H11=" "," ",H11*Koeficienty!$B$25)</f>
        <v> </v>
      </c>
      <c r="J11" s="23"/>
    </row>
    <row r="12" spans="1:10" ht="12.75">
      <c r="A12" s="28" t="s">
        <v>58</v>
      </c>
      <c r="B12" s="7">
        <v>17</v>
      </c>
      <c r="C12" s="7">
        <f>B12*3</f>
        <v>51</v>
      </c>
      <c r="D12" s="7">
        <f>Koeficienty!B10</f>
        <v>0.8</v>
      </c>
      <c r="E12" s="29">
        <f t="shared" si="2"/>
        <v>97.29136585547519</v>
      </c>
      <c r="F12" s="29">
        <f>IF(E12=" "," ",E12*Koeficienty!$B$25)</f>
        <v>102.15593414824896</v>
      </c>
      <c r="G12" s="30">
        <f t="shared" si="0"/>
        <v>4961.859658629235</v>
      </c>
      <c r="H12" s="29">
        <f t="shared" si="1"/>
        <v>2959.2790447707034</v>
      </c>
      <c r="I12" s="29">
        <f>IF(H12=" "," ",H12*Koeficienty!$B$25)</f>
        <v>3107.242997009239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>
        <v>15</v>
      </c>
      <c r="C14" s="7">
        <f>B14*4</f>
        <v>60</v>
      </c>
      <c r="D14" s="7">
        <f>Koeficienty!B14</f>
        <v>0.7</v>
      </c>
      <c r="E14" s="29">
        <f t="shared" si="2"/>
        <v>85.12994512354078</v>
      </c>
      <c r="F14" s="29">
        <f>IF(E14=" "," ",E14*Koeficienty!$B$25)</f>
        <v>89.38644237971782</v>
      </c>
      <c r="G14" s="30">
        <f t="shared" si="0"/>
        <v>5107.796707412446</v>
      </c>
      <c r="H14" s="29">
        <f t="shared" si="1"/>
        <v>2589.3691641743653</v>
      </c>
      <c r="I14" s="29">
        <f>IF(H14=" "," ",H14*Koeficienty!$B$25)</f>
        <v>2718.8376223830837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>
        <v>5</v>
      </c>
      <c r="C16" s="7">
        <f>B16*5</f>
        <v>25</v>
      </c>
      <c r="D16" s="7">
        <f>Koeficienty!B18</f>
        <v>0.6</v>
      </c>
      <c r="E16" s="29">
        <f t="shared" si="2"/>
        <v>72.96852439160638</v>
      </c>
      <c r="F16" s="29">
        <f>IF(E16=" "," ",E16*Koeficienty!$B$25)</f>
        <v>76.6169506111867</v>
      </c>
      <c r="G16" s="30">
        <f t="shared" si="0"/>
        <v>1824.2131097901595</v>
      </c>
      <c r="H16" s="29">
        <f t="shared" si="1"/>
        <v>2219.459283578027</v>
      </c>
      <c r="I16" s="29">
        <f>IF(H16=" "," ",H16*Koeficienty!$B$25)</f>
        <v>2330.4322477569285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16"/>
      <c r="B18" s="7"/>
      <c r="C18" s="7">
        <f>SUM(C8:C17)</f>
        <v>168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168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93.96145303601696</v>
      </c>
      <c r="C21" s="32"/>
      <c r="D21" s="32"/>
      <c r="E21" s="22"/>
      <c r="F21" s="22"/>
      <c r="G21" s="30"/>
      <c r="H21" s="33">
        <f>B21*365/12</f>
        <v>2857.994196512183</v>
      </c>
      <c r="I21" s="22"/>
      <c r="J21" s="23"/>
    </row>
    <row r="22" spans="1:10" ht="12.75">
      <c r="A22" s="16" t="s">
        <v>5</v>
      </c>
      <c r="B22" s="34">
        <f>B20*B21</f>
        <v>15785.52411005085</v>
      </c>
      <c r="C22" s="35"/>
      <c r="D22" s="35"/>
      <c r="E22" s="30"/>
      <c r="F22" s="30"/>
      <c r="G22" s="36">
        <f>SUM(G8:G17)</f>
        <v>15785.524110050848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33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koleje'!E3</f>
        <v>82.68487748268193</v>
      </c>
      <c r="F4" s="21"/>
      <c r="G4" s="7"/>
      <c r="H4" s="22">
        <f>E4*365/12</f>
        <v>2514.9983567649087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>
        <v>16</v>
      </c>
      <c r="C8" s="7">
        <f>B8*1</f>
        <v>16</v>
      </c>
      <c r="D8" s="7">
        <f>Koeficienty!B2</f>
        <v>1.25</v>
      </c>
      <c r="E8" s="29">
        <f>IF(B8&gt;0,$E$10*D8," ")</f>
        <v>106.05569639802951</v>
      </c>
      <c r="F8" s="29">
        <f>IF(E8=" "," ",E8*Koeficienty!$B$25)</f>
        <v>111.35848121793099</v>
      </c>
      <c r="G8" s="30">
        <f>IF(E8=" "," ",E8*C8)</f>
        <v>1696.8911423684722</v>
      </c>
      <c r="H8" s="29">
        <f>IF(E8=" "," ",E8*365/12)</f>
        <v>3225.8607654400644</v>
      </c>
      <c r="I8" s="29">
        <f>IF(H8=" "," ",H8*Koeficienty!$B$25)</f>
        <v>3387.1538037120677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78</v>
      </c>
      <c r="C10" s="7">
        <f>B10*2</f>
        <v>156</v>
      </c>
      <c r="D10" s="7">
        <f>Koeficienty!B6</f>
        <v>1</v>
      </c>
      <c r="E10" s="29">
        <f>B22/(C8*D8+C9*D9+C10*D10+C11*D11+C12*D12+C13*D13+C14*D14+C15*D15+C16*D16+C17*D17)</f>
        <v>84.84455711842361</v>
      </c>
      <c r="F10" s="29">
        <f>IF(E10=" "," ",E10*Koeficienty!$B$25)</f>
        <v>89.0867849743448</v>
      </c>
      <c r="G10" s="30">
        <f t="shared" si="0"/>
        <v>13235.750910474082</v>
      </c>
      <c r="H10" s="29">
        <f t="shared" si="1"/>
        <v>2580.688612352051</v>
      </c>
      <c r="I10" s="29">
        <f>IF(H10=" "," ",H10*Koeficienty!$B$25)</f>
        <v>2709.7230429696538</v>
      </c>
      <c r="J10" s="23"/>
    </row>
    <row r="11" spans="1:10" ht="12.75">
      <c r="A11" s="28" t="s">
        <v>62</v>
      </c>
      <c r="B11" s="7"/>
      <c r="C11" s="7">
        <f>B11*2</f>
        <v>0</v>
      </c>
      <c r="D11" s="7">
        <f>Koeficienty!B8</f>
        <v>1.15</v>
      </c>
      <c r="E11" s="29" t="str">
        <f aca="true" t="shared" si="2" ref="E11:E17">IF(B11&gt;0,$E$10*D11," ")</f>
        <v> </v>
      </c>
      <c r="F11" s="29" t="str">
        <f>IF(E11=" "," ",E11*Koeficienty!$B$25)</f>
        <v> </v>
      </c>
      <c r="G11" s="30" t="str">
        <f t="shared" si="0"/>
        <v> </v>
      </c>
      <c r="H11" s="29" t="str">
        <f t="shared" si="1"/>
        <v> </v>
      </c>
      <c r="I11" s="29" t="str">
        <f>IF(H11=" "," ",H11*Koeficienty!$B$25)</f>
        <v> </v>
      </c>
      <c r="J11" s="23"/>
    </row>
    <row r="12" spans="1:10" ht="12.75">
      <c r="A12" s="28" t="s">
        <v>58</v>
      </c>
      <c r="B12" s="7">
        <v>16</v>
      </c>
      <c r="C12" s="7">
        <f>B12*3</f>
        <v>48</v>
      </c>
      <c r="D12" s="7">
        <f>Koeficienty!B10</f>
        <v>0.8</v>
      </c>
      <c r="E12" s="29">
        <f t="shared" si="2"/>
        <v>67.87564569473889</v>
      </c>
      <c r="F12" s="29">
        <f>IF(E12=" "," ",E12*Koeficienty!$B$25)</f>
        <v>71.26942797947584</v>
      </c>
      <c r="G12" s="30">
        <f t="shared" si="0"/>
        <v>3258.030993347467</v>
      </c>
      <c r="H12" s="29">
        <f t="shared" si="1"/>
        <v>2064.550889881641</v>
      </c>
      <c r="I12" s="29">
        <f>IF(H12=" "," ",H12*Koeficienty!$B$25)</f>
        <v>2167.778434375723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/>
      <c r="C14" s="7">
        <f>B14*4</f>
        <v>0</v>
      </c>
      <c r="D14" s="7">
        <f>Koeficienty!B14</f>
        <v>0.7</v>
      </c>
      <c r="E14" s="29" t="str">
        <f t="shared" si="2"/>
        <v> </v>
      </c>
      <c r="F14" s="29" t="str">
        <f>IF(E14=" "," ",E14*Koeficienty!$B$25)</f>
        <v> </v>
      </c>
      <c r="G14" s="30" t="str">
        <f t="shared" si="0"/>
        <v> </v>
      </c>
      <c r="H14" s="29" t="str">
        <f t="shared" si="1"/>
        <v> </v>
      </c>
      <c r="I14" s="29" t="str">
        <f>IF(H14=" "," ",H14*Koeficienty!$B$25)</f>
        <v> 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220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220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82.68487748268193</v>
      </c>
      <c r="C21" s="32"/>
      <c r="D21" s="32"/>
      <c r="E21" s="22"/>
      <c r="F21" s="22"/>
      <c r="G21" s="30"/>
      <c r="H21" s="33">
        <f>B21*365/12</f>
        <v>2514.9983567649087</v>
      </c>
      <c r="I21" s="22"/>
      <c r="J21" s="23"/>
    </row>
    <row r="22" spans="1:10" ht="12.75">
      <c r="A22" s="16" t="s">
        <v>5</v>
      </c>
      <c r="B22" s="34">
        <f>B20*B21</f>
        <v>18190.673046190022</v>
      </c>
      <c r="C22" s="35"/>
      <c r="D22" s="35"/>
      <c r="E22" s="30"/>
      <c r="F22" s="30"/>
      <c r="G22" s="36">
        <f>SUM(G8:G17)</f>
        <v>18190.673046190022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34</v>
      </c>
      <c r="B2" s="10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koleje'!F3</f>
        <v>61.25331005624082</v>
      </c>
      <c r="F4" s="21"/>
      <c r="G4" s="7"/>
      <c r="H4" s="22">
        <f>E4*365/12</f>
        <v>1863.1215142106582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>
        <v>23</v>
      </c>
      <c r="C8" s="7">
        <f>B8*1</f>
        <v>23</v>
      </c>
      <c r="D8" s="7">
        <f>Koeficienty!B2</f>
        <v>1.25</v>
      </c>
      <c r="E8" s="29">
        <f>IF(B8&gt;0,$E$10*D8," ")</f>
        <v>84.4923367382625</v>
      </c>
      <c r="F8" s="29">
        <f>IF(E8=" "," ",E8*Koeficienty!$B$25)</f>
        <v>88.71695357517562</v>
      </c>
      <c r="G8" s="30">
        <f>IF(E8=" "," ",E8*C8)</f>
        <v>1943.3237449800374</v>
      </c>
      <c r="H8" s="29">
        <f>IF(E8=" "," ",E8*365/12)</f>
        <v>2569.975242455484</v>
      </c>
      <c r="I8" s="29">
        <f>IF(H8=" "," ",H8*Koeficienty!$B$25)</f>
        <v>2698.4740045782582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188</v>
      </c>
      <c r="C10" s="7">
        <f>B10*2</f>
        <v>376</v>
      </c>
      <c r="D10" s="7">
        <f>Koeficienty!B6</f>
        <v>1</v>
      </c>
      <c r="E10" s="29">
        <f>B22/(C8*D8+C9*D9+C10*D10+C11*D11+C12*D12+C13*D13+C14*D14+C15*D15+C16*D16+C17*D17)</f>
        <v>67.59386939061</v>
      </c>
      <c r="F10" s="29">
        <f>IF(E10=" "," ",E10*Koeficienty!$B$25)</f>
        <v>70.9735628601405</v>
      </c>
      <c r="G10" s="30">
        <f t="shared" si="0"/>
        <v>25415.294890869358</v>
      </c>
      <c r="H10" s="29">
        <f t="shared" si="1"/>
        <v>2055.980193964387</v>
      </c>
      <c r="I10" s="29">
        <f>IF(H10=" "," ",H10*Koeficienty!$B$25)</f>
        <v>2158.7792036626065</v>
      </c>
      <c r="J10" s="23"/>
    </row>
    <row r="11" spans="1:10" ht="12.75">
      <c r="A11" s="28" t="s">
        <v>62</v>
      </c>
      <c r="B11" s="7">
        <v>1</v>
      </c>
      <c r="C11" s="7">
        <f>B11*2</f>
        <v>2</v>
      </c>
      <c r="D11" s="7">
        <f>Koeficienty!B8</f>
        <v>1.15</v>
      </c>
      <c r="E11" s="29">
        <f aca="true" t="shared" si="2" ref="E11:E17">IF(B11&gt;0,$E$10*D11," ")</f>
        <v>77.73294979920149</v>
      </c>
      <c r="F11" s="29">
        <f>IF(E11=" "," ",E11*Koeficienty!$B$25)</f>
        <v>81.61959728916158</v>
      </c>
      <c r="G11" s="30">
        <f t="shared" si="0"/>
        <v>155.46589959840298</v>
      </c>
      <c r="H11" s="29">
        <f t="shared" si="1"/>
        <v>2364.3772230590453</v>
      </c>
      <c r="I11" s="29">
        <f>IF(H11=" "," ",H11*Koeficienty!$B$25)</f>
        <v>2482.5960842119975</v>
      </c>
      <c r="J11" s="23"/>
    </row>
    <row r="12" spans="1:10" ht="12.75">
      <c r="A12" s="28" t="s">
        <v>58</v>
      </c>
      <c r="B12" s="7">
        <v>88</v>
      </c>
      <c r="C12" s="7">
        <f>B12*3</f>
        <v>264</v>
      </c>
      <c r="D12" s="7">
        <f>Koeficienty!B10</f>
        <v>0.8</v>
      </c>
      <c r="E12" s="29">
        <f t="shared" si="2"/>
        <v>54.075095512488</v>
      </c>
      <c r="F12" s="29">
        <f>IF(E12=" "," ",E12*Koeficienty!$B$25)</f>
        <v>56.7788502881124</v>
      </c>
      <c r="G12" s="30">
        <f t="shared" si="0"/>
        <v>14275.82521529683</v>
      </c>
      <c r="H12" s="29">
        <f t="shared" si="1"/>
        <v>1644.78415517151</v>
      </c>
      <c r="I12" s="29">
        <f>IF(H12=" "," ",H12*Koeficienty!$B$25)</f>
        <v>1727.0233629300856</v>
      </c>
      <c r="J12" s="23"/>
    </row>
    <row r="13" spans="1:10" ht="12.75">
      <c r="A13" s="28" t="s">
        <v>63</v>
      </c>
      <c r="B13" s="7">
        <v>1</v>
      </c>
      <c r="C13" s="7">
        <f>B13*3</f>
        <v>3</v>
      </c>
      <c r="D13" s="7">
        <f>Koeficienty!B12</f>
        <v>0.9199999999999999</v>
      </c>
      <c r="E13" s="29">
        <f t="shared" si="2"/>
        <v>62.18635983936119</v>
      </c>
      <c r="F13" s="29">
        <f>IF(E13=" "," ",E13*Koeficienty!$B$25)</f>
        <v>65.29567783132924</v>
      </c>
      <c r="G13" s="30">
        <f t="shared" si="0"/>
        <v>186.55907951808356</v>
      </c>
      <c r="H13" s="29">
        <f t="shared" si="1"/>
        <v>1891.5017784472363</v>
      </c>
      <c r="I13" s="29">
        <f>IF(H13=" "," ",H13*Koeficienty!$B$25)</f>
        <v>1986.0768673695982</v>
      </c>
      <c r="J13" s="23"/>
    </row>
    <row r="14" spans="1:10" ht="12.75">
      <c r="A14" s="28" t="s">
        <v>59</v>
      </c>
      <c r="B14" s="7">
        <v>19</v>
      </c>
      <c r="C14" s="7">
        <f>B14*4</f>
        <v>76</v>
      </c>
      <c r="D14" s="7">
        <f>Koeficienty!B14</f>
        <v>0.7</v>
      </c>
      <c r="E14" s="29">
        <f t="shared" si="2"/>
        <v>47.315708573426996</v>
      </c>
      <c r="F14" s="29">
        <f>IF(E14=" "," ",E14*Koeficienty!$B$25)</f>
        <v>49.68149400209835</v>
      </c>
      <c r="G14" s="30">
        <f t="shared" si="0"/>
        <v>3595.9938515804515</v>
      </c>
      <c r="H14" s="29">
        <f t="shared" si="1"/>
        <v>1439.186135775071</v>
      </c>
      <c r="I14" s="29">
        <f>IF(H14=" "," ",H14*Koeficienty!$B$25)</f>
        <v>1511.1454425638246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744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744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61.25331005624082</v>
      </c>
      <c r="C21" s="32"/>
      <c r="D21" s="32"/>
      <c r="E21" s="22"/>
      <c r="F21" s="22"/>
      <c r="G21" s="30"/>
      <c r="H21" s="33">
        <f>B21*365/12</f>
        <v>1863.1215142106582</v>
      </c>
      <c r="I21" s="22"/>
      <c r="J21" s="23"/>
    </row>
    <row r="22" spans="1:10" ht="12.75">
      <c r="A22" s="16" t="s">
        <v>5</v>
      </c>
      <c r="B22" s="34">
        <f>B20*B21</f>
        <v>45572.46268184317</v>
      </c>
      <c r="C22" s="35"/>
      <c r="D22" s="35"/>
      <c r="E22" s="30"/>
      <c r="F22" s="30"/>
      <c r="G22" s="36">
        <f>SUM(G8:G17)</f>
        <v>45572.462681843164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zoomScale="85" zoomScaleNormal="85" workbookViewId="0" topLeftCell="A2">
      <selection activeCell="D34" sqref="D34"/>
    </sheetView>
  </sheetViews>
  <sheetFormatPr defaultColWidth="9.140625" defaultRowHeight="12.75"/>
  <cols>
    <col min="1" max="1" width="33.57421875" style="0" customWidth="1"/>
    <col min="2" max="2" width="10.281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57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35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koleje'!G3</f>
        <v>64.63738629586443</v>
      </c>
      <c r="F4" s="21"/>
      <c r="G4" s="7"/>
      <c r="H4" s="22">
        <f>E4*365/12</f>
        <v>1966.0538331658763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>
        <v>1</v>
      </c>
      <c r="C8" s="7">
        <f>B8*1</f>
        <v>1</v>
      </c>
      <c r="D8" s="7">
        <f>Koeficienty!B2</f>
        <v>1.25</v>
      </c>
      <c r="E8" s="29">
        <f>IF(B8&gt;0,$E$10*D8," ")</f>
        <v>81.47404125389406</v>
      </c>
      <c r="F8" s="29">
        <f>IF(E8=" "," ",E8*Koeficienty!$B$25)</f>
        <v>85.54774331658876</v>
      </c>
      <c r="G8" s="30">
        <f>IF(E8=" "," ",E8*C8)</f>
        <v>81.47404125389406</v>
      </c>
      <c r="H8" s="29">
        <f>IF(E8=" "," ",E8*365/12)</f>
        <v>2478.168754805944</v>
      </c>
      <c r="I8" s="29">
        <f>IF(H8=" "," ",H8*Koeficienty!$B$25)</f>
        <v>2602.0771925462413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797</v>
      </c>
      <c r="C10" s="7">
        <f>B10*2</f>
        <v>1594</v>
      </c>
      <c r="D10" s="7">
        <f>Koeficienty!B6</f>
        <v>1</v>
      </c>
      <c r="E10" s="29">
        <f>B22/(C8*D8+C9*D9+C10*D10+C11*D11+C12*D12+C13*D13+C14*D14+C15*D15+C16*D16+C17*D17)</f>
        <v>65.17923300311524</v>
      </c>
      <c r="F10" s="29">
        <f>IF(E10=" "," ",E10*Koeficienty!$B$25)</f>
        <v>68.43819465327101</v>
      </c>
      <c r="G10" s="30">
        <f t="shared" si="0"/>
        <v>103895.6974069657</v>
      </c>
      <c r="H10" s="29">
        <f t="shared" si="1"/>
        <v>1982.5350038447552</v>
      </c>
      <c r="I10" s="29">
        <f>IF(H10=" "," ",H10*Koeficienty!$B$25)</f>
        <v>2081.661754036993</v>
      </c>
      <c r="J10" s="23"/>
    </row>
    <row r="11" spans="1:10" ht="12.75">
      <c r="A11" s="28" t="s">
        <v>62</v>
      </c>
      <c r="B11" s="7"/>
      <c r="C11" s="7">
        <f>B11*2</f>
        <v>0</v>
      </c>
      <c r="D11" s="7">
        <f>Koeficienty!B8</f>
        <v>1.15</v>
      </c>
      <c r="E11" s="29" t="str">
        <f aca="true" t="shared" si="2" ref="E11:E17">IF(B11&gt;0,$E$10*D11," ")</f>
        <v> </v>
      </c>
      <c r="F11" s="29" t="str">
        <f>IF(E11=" "," ",E11*Koeficienty!$B$25)</f>
        <v> </v>
      </c>
      <c r="G11" s="30" t="str">
        <f t="shared" si="0"/>
        <v> </v>
      </c>
      <c r="H11" s="29" t="str">
        <f t="shared" si="1"/>
        <v> </v>
      </c>
      <c r="I11" s="29" t="str">
        <f>IF(H11=" "," ",H11*Koeficienty!$B$25)</f>
        <v> </v>
      </c>
      <c r="J11" s="23"/>
    </row>
    <row r="12" spans="1:10" ht="12.75">
      <c r="A12" s="28" t="s">
        <v>58</v>
      </c>
      <c r="B12" s="7">
        <v>14</v>
      </c>
      <c r="C12" s="7">
        <f>B12*3</f>
        <v>42</v>
      </c>
      <c r="D12" s="7">
        <f>Koeficienty!B10</f>
        <v>0.8</v>
      </c>
      <c r="E12" s="29">
        <f t="shared" si="2"/>
        <v>52.1433864024922</v>
      </c>
      <c r="F12" s="29">
        <f>IF(E12=" "," ",E12*Koeficienty!$B$25)</f>
        <v>54.75055572261681</v>
      </c>
      <c r="G12" s="30">
        <f t="shared" si="0"/>
        <v>2190.0222289046724</v>
      </c>
      <c r="H12" s="29">
        <f t="shared" si="1"/>
        <v>1586.0280030758042</v>
      </c>
      <c r="I12" s="29">
        <f>IF(H12=" "," ",H12*Koeficienty!$B$25)</f>
        <v>1665.3294032295946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>
        <v>3</v>
      </c>
      <c r="C14" s="7">
        <f>B14*4</f>
        <v>12</v>
      </c>
      <c r="D14" s="7">
        <f>Koeficienty!B14</f>
        <v>0.7</v>
      </c>
      <c r="E14" s="29">
        <f t="shared" si="2"/>
        <v>45.62546310218067</v>
      </c>
      <c r="F14" s="29">
        <f>IF(E14=" "," ",E14*Koeficienty!$B$25)</f>
        <v>47.9067362572897</v>
      </c>
      <c r="G14" s="30">
        <f t="shared" si="0"/>
        <v>547.505557226168</v>
      </c>
      <c r="H14" s="29">
        <f t="shared" si="1"/>
        <v>1387.7745026913287</v>
      </c>
      <c r="I14" s="29">
        <f>IF(H14=" "," ",H14*Koeficienty!$B$25)</f>
        <v>1457.1632278258953</v>
      </c>
      <c r="J14" s="23"/>
    </row>
    <row r="15" spans="1:10" ht="12.75">
      <c r="A15" s="28" t="s">
        <v>64</v>
      </c>
      <c r="B15" s="7"/>
      <c r="C15" s="7">
        <f>B15*4</f>
        <v>0</v>
      </c>
      <c r="D15" s="7">
        <f>Koeficienty!B16</f>
        <v>0.8049999999999999</v>
      </c>
      <c r="E15" s="29" t="str">
        <f t="shared" si="2"/>
        <v> </v>
      </c>
      <c r="F15" s="29" t="str">
        <f>IF(E15=" "," ",E15*Koeficienty!$B$25)</f>
        <v> </v>
      </c>
      <c r="G15" s="30" t="str">
        <f t="shared" si="0"/>
        <v> </v>
      </c>
      <c r="H15" s="29" t="str">
        <f t="shared" si="1"/>
        <v> </v>
      </c>
      <c r="I15" s="29" t="str">
        <f>IF(H15=" "," ",H15*Koeficienty!$B$25)</f>
        <v> </v>
      </c>
      <c r="J15" s="23"/>
    </row>
    <row r="16" spans="1:10" ht="12.75">
      <c r="A16" s="28" t="s">
        <v>60</v>
      </c>
      <c r="B16" s="7">
        <v>1</v>
      </c>
      <c r="C16" s="7">
        <f>B16*5</f>
        <v>5</v>
      </c>
      <c r="D16" s="7">
        <f>Koeficienty!B18</f>
        <v>0.6</v>
      </c>
      <c r="E16" s="29">
        <f t="shared" si="2"/>
        <v>39.107539801869144</v>
      </c>
      <c r="F16" s="29">
        <f>IF(E16=" "," ",E16*Koeficienty!$B$25)</f>
        <v>41.0629167919626</v>
      </c>
      <c r="G16" s="30">
        <f t="shared" si="0"/>
        <v>195.53769900934572</v>
      </c>
      <c r="H16" s="29">
        <f t="shared" si="1"/>
        <v>1189.5210023068532</v>
      </c>
      <c r="I16" s="29">
        <f>IF(H16=" "," ",H16*Koeficienty!$B$25)</f>
        <v>1248.997052422196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16"/>
      <c r="B18" s="7"/>
      <c r="C18" s="7">
        <f>SUM(C8:C17)</f>
        <v>1654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1654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64.63738629586443</v>
      </c>
      <c r="C21" s="32"/>
      <c r="D21" s="32"/>
      <c r="E21" s="22"/>
      <c r="F21" s="22"/>
      <c r="G21" s="30"/>
      <c r="H21" s="33">
        <f>B21*365/12</f>
        <v>1966.0538331658763</v>
      </c>
      <c r="I21" s="22"/>
      <c r="J21" s="23"/>
    </row>
    <row r="22" spans="1:10" ht="12.75">
      <c r="A22" s="16" t="s">
        <v>5</v>
      </c>
      <c r="B22" s="34">
        <f>B20*B21</f>
        <v>106910.23693335977</v>
      </c>
      <c r="C22" s="35"/>
      <c r="D22" s="35"/>
      <c r="E22" s="30"/>
      <c r="F22" s="30"/>
      <c r="G22" s="36">
        <f>SUM(G8:G17)</f>
        <v>106910.23693335979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5:10" ht="12.75">
      <c r="E26" s="6"/>
      <c r="F26" s="6"/>
      <c r="G26" s="6"/>
      <c r="H26" s="6"/>
      <c r="I26" s="6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spans="5:10" ht="12.75">
      <c r="E32" s="1"/>
      <c r="F32" s="1"/>
      <c r="G32" s="1"/>
      <c r="H32" s="1"/>
      <c r="I32" s="1"/>
      <c r="J32" s="1"/>
    </row>
  </sheetData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J31"/>
  <sheetViews>
    <sheetView tabSelected="1" zoomScale="85" zoomScaleNormal="85" workbookViewId="0" topLeftCell="A2">
      <selection activeCell="B42" sqref="B42"/>
    </sheetView>
  </sheetViews>
  <sheetFormatPr defaultColWidth="9.140625" defaultRowHeight="12.75"/>
  <cols>
    <col min="1" max="1" width="34.421875" style="0" customWidth="1"/>
    <col min="2" max="2" width="10.140625" style="0" customWidth="1"/>
    <col min="3" max="3" width="6.140625" style="0" customWidth="1"/>
    <col min="4" max="4" width="8.140625" style="0" customWidth="1"/>
    <col min="5" max="5" width="14.57421875" style="0" customWidth="1"/>
    <col min="6" max="6" width="13.57421875" style="0" customWidth="1"/>
    <col min="7" max="7" width="12.1406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10" ht="51.75" customHeight="1">
      <c r="A2" s="9" t="s">
        <v>36</v>
      </c>
      <c r="B2" s="13"/>
      <c r="C2" s="41"/>
      <c r="D2" s="41"/>
      <c r="E2" s="12" t="s">
        <v>29</v>
      </c>
      <c r="F2" s="12"/>
      <c r="G2" s="13"/>
      <c r="H2" s="12" t="s">
        <v>30</v>
      </c>
      <c r="I2" s="14"/>
      <c r="J2" s="15"/>
    </row>
    <row r="3" spans="1:10" ht="12.75" customHeight="1">
      <c r="A3" s="16"/>
      <c r="B3" s="7"/>
      <c r="C3" s="17"/>
      <c r="D3" s="17"/>
      <c r="E3" s="18"/>
      <c r="F3" s="18"/>
      <c r="G3" s="7"/>
      <c r="H3" s="18"/>
      <c r="I3" s="19"/>
      <c r="J3" s="20"/>
    </row>
    <row r="4" spans="1:10" ht="12.75">
      <c r="A4" s="16" t="s">
        <v>88</v>
      </c>
      <c r="B4" s="7"/>
      <c r="C4" s="7"/>
      <c r="D4" s="7"/>
      <c r="E4" s="21">
        <f>'Pražské koleje'!H3</f>
        <v>65.03435793278034</v>
      </c>
      <c r="F4" s="21"/>
      <c r="G4" s="7"/>
      <c r="H4" s="22">
        <f>E4*365/12</f>
        <v>1978.1283871220685</v>
      </c>
      <c r="I4" s="22"/>
      <c r="J4" s="23"/>
    </row>
    <row r="5" spans="1:10" ht="12.75">
      <c r="A5" s="16"/>
      <c r="B5" s="7"/>
      <c r="C5" s="7"/>
      <c r="D5" s="7"/>
      <c r="E5" s="22"/>
      <c r="F5" s="22"/>
      <c r="G5" s="22"/>
      <c r="H5" s="22"/>
      <c r="I5" s="22"/>
      <c r="J5" s="24"/>
    </row>
    <row r="6" spans="1:10" ht="12.75">
      <c r="A6" s="16"/>
      <c r="B6" s="7"/>
      <c r="C6" s="7"/>
      <c r="D6" s="7"/>
      <c r="E6" s="22"/>
      <c r="F6" s="22"/>
      <c r="G6" s="22"/>
      <c r="H6" s="22"/>
      <c r="I6" s="22"/>
      <c r="J6" s="24"/>
    </row>
    <row r="7" spans="1:10" ht="63.75" customHeight="1">
      <c r="A7" s="16"/>
      <c r="B7" s="25" t="s">
        <v>0</v>
      </c>
      <c r="C7" s="25" t="s">
        <v>7</v>
      </c>
      <c r="D7" s="25" t="s">
        <v>6</v>
      </c>
      <c r="E7" s="26" t="s">
        <v>27</v>
      </c>
      <c r="F7" s="26" t="s">
        <v>66</v>
      </c>
      <c r="G7" s="27" t="s">
        <v>8</v>
      </c>
      <c r="H7" s="26" t="s">
        <v>28</v>
      </c>
      <c r="I7" s="26" t="s">
        <v>67</v>
      </c>
      <c r="J7" s="24"/>
    </row>
    <row r="8" spans="1:10" ht="12.75">
      <c r="A8" s="28" t="s">
        <v>56</v>
      </c>
      <c r="B8" s="7">
        <v>2</v>
      </c>
      <c r="C8" s="7">
        <f>B8*1</f>
        <v>2</v>
      </c>
      <c r="D8" s="7">
        <f>Koeficienty!B2</f>
        <v>1.25</v>
      </c>
      <c r="E8" s="29">
        <f>IF(B8&gt;0,$E$10*D8," ")</f>
        <v>80.43246496421858</v>
      </c>
      <c r="F8" s="29">
        <f>IF(E8=" "," ",E8*Koeficienty!$B$25)</f>
        <v>84.45408821242951</v>
      </c>
      <c r="G8" s="30">
        <f>IF(E8=" "," ",E8*C8)</f>
        <v>160.86492992843716</v>
      </c>
      <c r="H8" s="29">
        <f>IF(E8=" "," ",E8*365/12)</f>
        <v>2446.487475994982</v>
      </c>
      <c r="I8" s="29">
        <f>IF(H8=" "," ",H8*Koeficienty!$B$25)</f>
        <v>2568.811849794731</v>
      </c>
      <c r="J8" s="23"/>
    </row>
    <row r="9" spans="1:10" ht="12.75">
      <c r="A9" s="28" t="s">
        <v>61</v>
      </c>
      <c r="B9" s="7"/>
      <c r="C9" s="7">
        <f>B9*1</f>
        <v>0</v>
      </c>
      <c r="D9" s="7">
        <f>Koeficienty!B4</f>
        <v>1.4375</v>
      </c>
      <c r="E9" s="29" t="str">
        <f>IF(B9&gt;0,$E$10*D9," ")</f>
        <v> </v>
      </c>
      <c r="F9" s="29" t="str">
        <f>IF(E9=" "," ",E9*Koeficienty!$B$25)</f>
        <v> </v>
      </c>
      <c r="G9" s="30" t="str">
        <f aca="true" t="shared" si="0" ref="G9:G17">IF(E9=" "," ",E9*C9)</f>
        <v> </v>
      </c>
      <c r="H9" s="29" t="str">
        <f aca="true" t="shared" si="1" ref="H9:H17">IF(E9=" "," ",E9*365/12)</f>
        <v> </v>
      </c>
      <c r="I9" s="29" t="str">
        <f>IF(H9=" "," ",H9*Koeficienty!$B$25)</f>
        <v> </v>
      </c>
      <c r="J9" s="23"/>
    </row>
    <row r="10" spans="1:10" ht="12.75">
      <c r="A10" s="28" t="s">
        <v>57</v>
      </c>
      <c r="B10" s="7">
        <v>663</v>
      </c>
      <c r="C10" s="7">
        <f>B10*2</f>
        <v>1326</v>
      </c>
      <c r="D10" s="7">
        <f>Koeficienty!B6</f>
        <v>1</v>
      </c>
      <c r="E10" s="29">
        <f>B22/(C8*D8+C9*D9+C10*D10+C11*D11+C12*D12+C13*D13+C14*D14+C15*D15+C16*D16+C17*D17)</f>
        <v>64.34597197137487</v>
      </c>
      <c r="F10" s="29">
        <f>IF(E10=" "," ",E10*Koeficienty!$B$25)</f>
        <v>67.56327056994361</v>
      </c>
      <c r="G10" s="30">
        <f t="shared" si="0"/>
        <v>85322.75883404307</v>
      </c>
      <c r="H10" s="29">
        <f t="shared" si="1"/>
        <v>1957.1899807959855</v>
      </c>
      <c r="I10" s="29">
        <f>IF(H10=" "," ",H10*Koeficienty!$B$25)</f>
        <v>2055.049479835785</v>
      </c>
      <c r="J10" s="23"/>
    </row>
    <row r="11" spans="1:10" ht="12.75">
      <c r="A11" s="28" t="s">
        <v>85</v>
      </c>
      <c r="B11" s="7">
        <v>166</v>
      </c>
      <c r="C11" s="7">
        <f>B11*2</f>
        <v>332</v>
      </c>
      <c r="D11" s="7">
        <f>Koeficienty!B8</f>
        <v>1.15</v>
      </c>
      <c r="E11" s="29">
        <f aca="true" t="shared" si="2" ref="E11:E17">IF(B11&gt;0,$E$10*D11," ")</f>
        <v>73.99786776708109</v>
      </c>
      <c r="F11" s="29">
        <f>IF(E11=" "," ",E11*Koeficienty!$B$25)</f>
        <v>77.69776115543515</v>
      </c>
      <c r="G11" s="30">
        <f t="shared" si="0"/>
        <v>24567.29209867092</v>
      </c>
      <c r="H11" s="29">
        <f t="shared" si="1"/>
        <v>2250.768477915383</v>
      </c>
      <c r="I11" s="29">
        <f>IF(H11=" "," ",H11*Koeficienty!$B$25)</f>
        <v>2363.306901811152</v>
      </c>
      <c r="J11" s="23"/>
    </row>
    <row r="12" spans="1:10" ht="12.75">
      <c r="A12" s="28" t="s">
        <v>58</v>
      </c>
      <c r="B12" s="7"/>
      <c r="C12" s="7">
        <f>B12*3</f>
        <v>0</v>
      </c>
      <c r="D12" s="7">
        <f>Koeficienty!B10</f>
        <v>0.8</v>
      </c>
      <c r="E12" s="29" t="str">
        <f t="shared" si="2"/>
        <v> </v>
      </c>
      <c r="F12" s="29" t="str">
        <f>IF(E12=" "," ",E12*Koeficienty!$B$25)</f>
        <v> </v>
      </c>
      <c r="G12" s="30" t="str">
        <f t="shared" si="0"/>
        <v> </v>
      </c>
      <c r="H12" s="29" t="str">
        <f t="shared" si="1"/>
        <v> </v>
      </c>
      <c r="I12" s="29" t="str">
        <f>IF(H12=" "," ",H12*Koeficienty!$B$25)</f>
        <v> </v>
      </c>
      <c r="J12" s="23"/>
    </row>
    <row r="13" spans="1:10" ht="12.75">
      <c r="A13" s="28" t="s">
        <v>63</v>
      </c>
      <c r="B13" s="7"/>
      <c r="C13" s="7">
        <f>B13*3</f>
        <v>0</v>
      </c>
      <c r="D13" s="7">
        <f>Koeficienty!B12</f>
        <v>0.9199999999999999</v>
      </c>
      <c r="E13" s="29" t="str">
        <f t="shared" si="2"/>
        <v> </v>
      </c>
      <c r="F13" s="29" t="str">
        <f>IF(E13=" "," ",E13*Koeficienty!$B$25)</f>
        <v> </v>
      </c>
      <c r="G13" s="30" t="str">
        <f t="shared" si="0"/>
        <v> </v>
      </c>
      <c r="H13" s="29" t="str">
        <f t="shared" si="1"/>
        <v> </v>
      </c>
      <c r="I13" s="29" t="str">
        <f>IF(H13=" "," ",H13*Koeficienty!$B$25)</f>
        <v> </v>
      </c>
      <c r="J13" s="23"/>
    </row>
    <row r="14" spans="1:10" ht="12.75">
      <c r="A14" s="28" t="s">
        <v>59</v>
      </c>
      <c r="B14" s="7">
        <v>4</v>
      </c>
      <c r="C14" s="7">
        <f>B14*4</f>
        <v>16</v>
      </c>
      <c r="D14" s="7">
        <f>Koeficienty!B14</f>
        <v>0.7</v>
      </c>
      <c r="E14" s="29">
        <f t="shared" si="2"/>
        <v>45.0421803799624</v>
      </c>
      <c r="F14" s="29">
        <f>IF(E14=" "," ",E14*Koeficienty!$B$25)</f>
        <v>47.29428939896052</v>
      </c>
      <c r="G14" s="30">
        <f t="shared" si="0"/>
        <v>720.6748860793984</v>
      </c>
      <c r="H14" s="29">
        <f t="shared" si="1"/>
        <v>1370.0329865571896</v>
      </c>
      <c r="I14" s="29">
        <f>IF(H14=" "," ",H14*Koeficienty!$B$25)</f>
        <v>1438.534635885049</v>
      </c>
      <c r="J14" s="23"/>
    </row>
    <row r="15" spans="1:10" ht="12.75">
      <c r="A15" s="28" t="s">
        <v>86</v>
      </c>
      <c r="B15" s="7">
        <v>25</v>
      </c>
      <c r="C15" s="7">
        <f>B15*4</f>
        <v>100</v>
      </c>
      <c r="D15" s="7">
        <f>Koeficienty!B15</f>
        <v>0.735</v>
      </c>
      <c r="E15" s="29">
        <f t="shared" si="2"/>
        <v>47.29428939896052</v>
      </c>
      <c r="F15" s="29">
        <f>IF(E15=" "," ",E15*Koeficienty!$B$25)</f>
        <v>49.65900386890855</v>
      </c>
      <c r="G15" s="30">
        <f t="shared" si="0"/>
        <v>4729.428939896052</v>
      </c>
      <c r="H15" s="29">
        <f t="shared" si="1"/>
        <v>1438.5346358850493</v>
      </c>
      <c r="I15" s="29">
        <f>IF(H15=" "," ",H15*Koeficienty!$B$25)</f>
        <v>1510.4613676793017</v>
      </c>
      <c r="J15" s="23"/>
    </row>
    <row r="16" spans="1:10" ht="12.75">
      <c r="A16" s="28" t="s">
        <v>60</v>
      </c>
      <c r="B16" s="7"/>
      <c r="C16" s="7">
        <f>B16*5</f>
        <v>0</v>
      </c>
      <c r="D16" s="7">
        <f>Koeficienty!B18</f>
        <v>0.6</v>
      </c>
      <c r="E16" s="29" t="str">
        <f t="shared" si="2"/>
        <v> </v>
      </c>
      <c r="F16" s="29" t="str">
        <f>IF(E16=" "," ",E16*Koeficienty!$B$25)</f>
        <v> </v>
      </c>
      <c r="G16" s="30" t="str">
        <f t="shared" si="0"/>
        <v> </v>
      </c>
      <c r="H16" s="29" t="str">
        <f t="shared" si="1"/>
        <v> </v>
      </c>
      <c r="I16" s="29" t="str">
        <f>IF(H16=" "," ",H16*Koeficienty!$B$25)</f>
        <v> </v>
      </c>
      <c r="J16" s="23"/>
    </row>
    <row r="17" spans="1:10" ht="12.75">
      <c r="A17" s="28" t="s">
        <v>65</v>
      </c>
      <c r="B17" s="7"/>
      <c r="C17" s="7">
        <f>B17*5</f>
        <v>0</v>
      </c>
      <c r="D17" s="7">
        <f>Koeficienty!B19</f>
        <v>0.69</v>
      </c>
      <c r="E17" s="29" t="str">
        <f t="shared" si="2"/>
        <v> </v>
      </c>
      <c r="F17" s="29" t="str">
        <f>IF(E17=" "," ",E17*Koeficienty!$B$25)</f>
        <v> </v>
      </c>
      <c r="G17" s="30" t="str">
        <f t="shared" si="0"/>
        <v> </v>
      </c>
      <c r="H17" s="29" t="str">
        <f t="shared" si="1"/>
        <v> </v>
      </c>
      <c r="I17" s="29" t="str">
        <f>IF(H17=" "," ",H17*Koeficienty!$B$25)</f>
        <v> </v>
      </c>
      <c r="J17" s="23"/>
    </row>
    <row r="18" spans="1:10" ht="12.75">
      <c r="A18" s="28"/>
      <c r="B18" s="7"/>
      <c r="C18" s="7">
        <f>SUM(C8:C17)</f>
        <v>1776</v>
      </c>
      <c r="D18" s="7"/>
      <c r="E18" s="22"/>
      <c r="F18" s="22"/>
      <c r="G18" s="30"/>
      <c r="H18" s="22"/>
      <c r="I18" s="22"/>
      <c r="J18" s="23"/>
    </row>
    <row r="19" spans="1:10" ht="12.75">
      <c r="A19" s="31" t="s">
        <v>2</v>
      </c>
      <c r="B19" s="7"/>
      <c r="C19" s="7"/>
      <c r="D19" s="7"/>
      <c r="E19" s="22"/>
      <c r="F19" s="22"/>
      <c r="G19" s="30"/>
      <c r="H19" s="22"/>
      <c r="I19" s="22"/>
      <c r="J19" s="23"/>
    </row>
    <row r="20" spans="1:10" ht="12.75">
      <c r="A20" s="16" t="s">
        <v>3</v>
      </c>
      <c r="B20" s="7">
        <f>C18</f>
        <v>1776</v>
      </c>
      <c r="C20" s="7"/>
      <c r="D20" s="7"/>
      <c r="E20" s="22"/>
      <c r="F20" s="22"/>
      <c r="G20" s="30"/>
      <c r="H20" s="22"/>
      <c r="I20" s="22"/>
      <c r="J20" s="23"/>
    </row>
    <row r="21" spans="1:10" ht="12.75">
      <c r="A21" s="16" t="s">
        <v>4</v>
      </c>
      <c r="B21" s="32">
        <f>E4</f>
        <v>65.03435793278034</v>
      </c>
      <c r="C21" s="32"/>
      <c r="D21" s="32"/>
      <c r="E21" s="22"/>
      <c r="F21" s="22"/>
      <c r="G21" s="30"/>
      <c r="H21" s="33">
        <f>B21*365/12</f>
        <v>1978.1283871220685</v>
      </c>
      <c r="I21" s="22"/>
      <c r="J21" s="23"/>
    </row>
    <row r="22" spans="1:10" ht="12.75">
      <c r="A22" s="16" t="s">
        <v>5</v>
      </c>
      <c r="B22" s="34">
        <f>B20*B21</f>
        <v>115501.01968861787</v>
      </c>
      <c r="C22" s="35"/>
      <c r="D22" s="35"/>
      <c r="E22" s="30"/>
      <c r="F22" s="30"/>
      <c r="G22" s="36">
        <f>SUM(G8:G17)</f>
        <v>115501.01968861789</v>
      </c>
      <c r="H22" s="22"/>
      <c r="I22" s="22"/>
      <c r="J22" s="23"/>
    </row>
    <row r="23" spans="1:10" ht="12.75">
      <c r="A23" s="16"/>
      <c r="B23" s="7"/>
      <c r="C23" s="7"/>
      <c r="D23" s="7"/>
      <c r="E23" s="22"/>
      <c r="F23" s="22"/>
      <c r="G23" s="22"/>
      <c r="H23" s="22"/>
      <c r="I23" s="22"/>
      <c r="J23" s="23"/>
    </row>
    <row r="24" spans="1:10" ht="12.75">
      <c r="A24" s="37"/>
      <c r="B24" s="38"/>
      <c r="C24" s="38"/>
      <c r="D24" s="38"/>
      <c r="E24" s="39"/>
      <c r="F24" s="39"/>
      <c r="G24" s="39"/>
      <c r="H24" s="39"/>
      <c r="I24" s="39"/>
      <c r="J24" s="40"/>
    </row>
    <row r="25" spans="5:10" ht="12.75">
      <c r="E25" s="6"/>
      <c r="F25" s="6"/>
      <c r="G25" s="6"/>
      <c r="H25" s="6"/>
      <c r="I25" s="6"/>
      <c r="J25" s="1"/>
    </row>
    <row r="26" spans="1:10" s="68" customFormat="1" ht="9.75">
      <c r="A26" s="68" t="s">
        <v>92</v>
      </c>
      <c r="E26" s="69"/>
      <c r="F26" s="69"/>
      <c r="G26" s="69"/>
      <c r="H26" s="69"/>
      <c r="I26" s="69"/>
      <c r="J26" s="69"/>
    </row>
    <row r="27" spans="1:10" s="68" customFormat="1" ht="19.5" customHeight="1">
      <c r="A27" s="76" t="s">
        <v>89</v>
      </c>
      <c r="B27" s="77"/>
      <c r="C27" s="77"/>
      <c r="D27" s="77"/>
      <c r="E27" s="77"/>
      <c r="F27" s="77"/>
      <c r="G27" s="78"/>
      <c r="H27" s="69"/>
      <c r="I27" s="69"/>
      <c r="J27" s="69"/>
    </row>
    <row r="28" spans="1:10" s="68" customFormat="1" ht="25.5" customHeight="1">
      <c r="A28" s="76" t="s">
        <v>90</v>
      </c>
      <c r="B28" s="77"/>
      <c r="C28" s="77"/>
      <c r="D28" s="77"/>
      <c r="E28" s="77"/>
      <c r="F28" s="77"/>
      <c r="G28" s="78"/>
      <c r="H28" s="69"/>
      <c r="I28" s="69"/>
      <c r="J28" s="69"/>
    </row>
    <row r="29" spans="1:10" s="68" customFormat="1" ht="21" customHeight="1">
      <c r="A29" s="76" t="s">
        <v>91</v>
      </c>
      <c r="B29" s="77"/>
      <c r="C29" s="77"/>
      <c r="D29" s="77"/>
      <c r="E29" s="77"/>
      <c r="F29" s="77"/>
      <c r="G29" s="78"/>
      <c r="H29" s="69"/>
      <c r="I29" s="69"/>
      <c r="J29" s="69"/>
    </row>
    <row r="30" spans="5:10" s="68" customFormat="1" ht="9.75">
      <c r="E30" s="69"/>
      <c r="F30" s="69"/>
      <c r="G30" s="69"/>
      <c r="H30" s="69"/>
      <c r="I30" s="69"/>
      <c r="J30" s="69"/>
    </row>
    <row r="31" spans="5:10" ht="12.75">
      <c r="E31" s="1"/>
      <c r="F31" s="1"/>
      <c r="G31" s="1"/>
      <c r="H31" s="1"/>
      <c r="I31" s="1"/>
      <c r="J31" s="1"/>
    </row>
  </sheetData>
  <mergeCells count="3">
    <mergeCell ref="A27:G27"/>
    <mergeCell ref="A28:G28"/>
    <mergeCell ref="A29:G29"/>
  </mergeCells>
  <printOptions/>
  <pageMargins left="0.5905511811023623" right="0.5905511811023623" top="1.3779527559055118" bottom="0.5905511811023623" header="0.5118110236220472" footer="0.5118110236220472"/>
  <pageSetup horizontalDpi="300" verticalDpi="300" orientation="landscape" paperSize="9" r:id="rId1"/>
  <headerFooter alignWithMargins="0">
    <oddHeader>&amp;CPříloha k opatření rektora č. 22/2007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Stanovení standardních cen pro ubytování na kolejích UK</dc:title>
  <dc:subject>Opatření rektora č. 22/2007 - příloha</dc:subject>
  <dc:creator>KaM UK</dc:creator>
  <cp:keywords/>
  <dc:description/>
  <cp:lastModifiedBy>RNDr. Tomáš Jelínek</cp:lastModifiedBy>
  <cp:lastPrinted>2007-05-30T13:29:40Z</cp:lastPrinted>
  <dcterms:created xsi:type="dcterms:W3CDTF">2005-04-21T14:55:09Z</dcterms:created>
  <dcterms:modified xsi:type="dcterms:W3CDTF">2007-05-30T13:29:41Z</dcterms:modified>
  <cp:category/>
  <cp:version/>
  <cp:contentType/>
  <cp:contentStatus/>
</cp:coreProperties>
</file>