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5976" windowHeight="6948" tabRatio="601" firstSheet="3" activeTab="8"/>
  </bookViews>
  <sheets>
    <sheet name="Koeficienty" sheetId="1" r:id="rId1"/>
    <sheet name="Pražské koleje" sheetId="2" r:id="rId2"/>
    <sheet name="Jednota" sheetId="3" r:id="rId3"/>
    <sheet name="Petrská" sheetId="4" r:id="rId4"/>
    <sheet name="Arnošt" sheetId="5" r:id="rId5"/>
    <sheet name="Budeč" sheetId="6" r:id="rId6"/>
    <sheet name="Švehlova" sheetId="7" r:id="rId7"/>
    <sheet name="Větrník" sheetId="8" r:id="rId8"/>
    <sheet name="Hvězda" sheetId="9" r:id="rId9"/>
    <sheet name="Kajetánka" sheetId="10" r:id="rId10"/>
    <sheet name="Komenského" sheetId="11" r:id="rId11"/>
    <sheet name="Olbracht" sheetId="12" r:id="rId12"/>
    <sheet name="Nová Kolej" sheetId="13" r:id="rId13"/>
    <sheet name="Houštka" sheetId="14" r:id="rId14"/>
    <sheet name="17. listopad" sheetId="15" r:id="rId15"/>
    <sheet name="Otava+Vltava" sheetId="16" r:id="rId16"/>
    <sheet name="Hostivař" sheetId="17" r:id="rId17"/>
    <sheet name="Plzeňské koleje" sheetId="18" r:id="rId18"/>
    <sheet name="Bolevecká" sheetId="19" r:id="rId19"/>
    <sheet name="Heyrovského" sheetId="20" r:id="rId20"/>
    <sheet name="Šafránkův pav." sheetId="21" r:id="rId21"/>
    <sheet name="Hradecké koleje" sheetId="22" r:id="rId22"/>
    <sheet name="Na Kotli" sheetId="23" r:id="rId23"/>
    <sheet name="Palachova" sheetId="24" r:id="rId24"/>
  </sheets>
  <definedNames>
    <definedName name="_xlnm.Print_Titles" localSheetId="21">'Hradecké koleje'!$1:$2</definedName>
    <definedName name="_xlnm.Print_Titles" localSheetId="17">'Plzeňské koleje'!$1:$2</definedName>
    <definedName name="_xlnm.Print_Titles" localSheetId="1">'Pražské koleje'!$1:$2</definedName>
  </definedNames>
  <calcPr fullCalcOnLoad="1"/>
</workbook>
</file>

<file path=xl/sharedStrings.xml><?xml version="1.0" encoding="utf-8"?>
<sst xmlns="http://schemas.openxmlformats.org/spreadsheetml/2006/main" count="737" uniqueCount="93">
  <si>
    <t>Počet pokojů</t>
  </si>
  <si>
    <t>kolej  Jednota</t>
  </si>
  <si>
    <t>Výpočet:</t>
  </si>
  <si>
    <t>Celkem lůžek</t>
  </si>
  <si>
    <t>Prům.cena</t>
  </si>
  <si>
    <t>Celkové suma kolejného</t>
  </si>
  <si>
    <t>Koeficient</t>
  </si>
  <si>
    <t>Počet lůžek</t>
  </si>
  <si>
    <t>Kontrola výpočtu</t>
  </si>
  <si>
    <t>Jednota</t>
  </si>
  <si>
    <t>Petrská</t>
  </si>
  <si>
    <t>Arnošt</t>
  </si>
  <si>
    <t>Budeč</t>
  </si>
  <si>
    <t>Švehlova</t>
  </si>
  <si>
    <t>Větrník</t>
  </si>
  <si>
    <t>Hvězda</t>
  </si>
  <si>
    <t>Kajetánka</t>
  </si>
  <si>
    <t>Komenského</t>
  </si>
  <si>
    <t>Olbracht</t>
  </si>
  <si>
    <t>Nová</t>
  </si>
  <si>
    <t>Houšťka</t>
  </si>
  <si>
    <t>17.listopad</t>
  </si>
  <si>
    <t>Otava + Vltava</t>
  </si>
  <si>
    <t>Hostivař</t>
  </si>
  <si>
    <t xml:space="preserve">Pražské koleje celkem </t>
  </si>
  <si>
    <t>Ukazatel</t>
  </si>
  <si>
    <t>Druh pokoje</t>
  </si>
  <si>
    <t>Výpočet ceny za 1 lůžkoden bez DPH v Kč</t>
  </si>
  <si>
    <t>Výpočet ceny za 1 měsíc    bez DPH v Kč</t>
  </si>
  <si>
    <t>Cena za            1 lůžkoden       bez DPH v Kč   "Pražské koleje"</t>
  </si>
  <si>
    <t>Cena za           1 měsíc         bez DPH v Kč  "Pražské koleje"</t>
  </si>
  <si>
    <t>kolej  Arnošta z Pardubic</t>
  </si>
  <si>
    <t>kolej  Petrská</t>
  </si>
  <si>
    <t>kolej  Budeč</t>
  </si>
  <si>
    <t>kolej  Švehlova</t>
  </si>
  <si>
    <t>kolej  Větrník</t>
  </si>
  <si>
    <t>kolej  Hvězda</t>
  </si>
  <si>
    <t>kolej  Komenského</t>
  </si>
  <si>
    <t>kolej  Kajetánka</t>
  </si>
  <si>
    <t>kolej  I.Olbrachta</t>
  </si>
  <si>
    <t>Nová Kolej</t>
  </si>
  <si>
    <t>kolej  Houštka</t>
  </si>
  <si>
    <t>kolej  17. listopadu</t>
  </si>
  <si>
    <t>kolej  Hostivař</t>
  </si>
  <si>
    <t>kolej  Otava     kolej Vltava</t>
  </si>
  <si>
    <t>Bolevecká</t>
  </si>
  <si>
    <t>Heyrovského</t>
  </si>
  <si>
    <t>Šafr. pavilon</t>
  </si>
  <si>
    <t>Plzeňské koleje celkem</t>
  </si>
  <si>
    <t>Na Kotli</t>
  </si>
  <si>
    <t>Palachova</t>
  </si>
  <si>
    <t>Garni DČ</t>
  </si>
  <si>
    <t>Hradecké koleje celkem</t>
  </si>
  <si>
    <t>kolej  Palachova</t>
  </si>
  <si>
    <t>kolej  Na Kotli</t>
  </si>
  <si>
    <t>kolej  Bolevecká</t>
  </si>
  <si>
    <t>kolej  Heyrovského</t>
  </si>
  <si>
    <t>kolej  Šafránkův pavilon</t>
  </si>
  <si>
    <t xml:space="preserve">  1  lůžkový</t>
  </si>
  <si>
    <t xml:space="preserve">  2  lůžkový</t>
  </si>
  <si>
    <t xml:space="preserve">  3  lůžkový</t>
  </si>
  <si>
    <t xml:space="preserve">  4  lůžkový</t>
  </si>
  <si>
    <t xml:space="preserve">  5  lůžkový</t>
  </si>
  <si>
    <t xml:space="preserve">  1  lůžkový se soc.zař.</t>
  </si>
  <si>
    <t xml:space="preserve">  2  lůžkový se soc.zař.</t>
  </si>
  <si>
    <t xml:space="preserve">  3  lůžkový se soc.zař.</t>
  </si>
  <si>
    <t xml:space="preserve">  4  lůžkový se soc.zař.</t>
  </si>
  <si>
    <t xml:space="preserve">  5  lůžkový se soc.zař.</t>
  </si>
  <si>
    <t>Výpočet ceny za 1 lůžkoden vč. DPH v Kč</t>
  </si>
  <si>
    <t>Výpočet ceny za 1 měsíc    vč. DPH v Kč</t>
  </si>
  <si>
    <t>Základní režijní cena</t>
  </si>
  <si>
    <t>Cena za            1 lůžkoden       bez DPH v Kč   "Hradecké koleje"</t>
  </si>
  <si>
    <t>Cena za           1 měsíc         bez DPH v Kč  "Hradecké koleje"</t>
  </si>
  <si>
    <t>Cena za            1 lůžkoden       bez DPH v Kč   "Plzeňské koleje"</t>
  </si>
  <si>
    <t>Cena za           1 měsíc         bez DPH v Kč  "Plzeňské koleje"</t>
  </si>
  <si>
    <t>Pozn: Výpočet v násl. tabulkách je proveden dle hodnot v oranž. polích</t>
  </si>
  <si>
    <t>Koeficient  pro odlišení cen mezi pokoji (bod 2. opatření)</t>
  </si>
  <si>
    <t>Pokoj se sociálním zařízením   vč.společného pro buňku</t>
  </si>
  <si>
    <t>Pokoj s nadstandardním vybavením</t>
  </si>
  <si>
    <t>DPH</t>
  </si>
  <si>
    <t xml:space="preserve">  1  lůžkový                  - nadstand. vyb.</t>
  </si>
  <si>
    <t xml:space="preserve">  1  lůžkový se soc.zař. - nadstand. vyb.</t>
  </si>
  <si>
    <t xml:space="preserve">  2  lůžkový                  - nadstand. vyb.</t>
  </si>
  <si>
    <t xml:space="preserve">  2  lůžkový se soc.zař. - nadstand. vyb.</t>
  </si>
  <si>
    <t xml:space="preserve">  3  lůžkový                  - nadstand. vyb.</t>
  </si>
  <si>
    <t xml:space="preserve">  3  lůžkový se soc.zař. - nadstand. vyb.</t>
  </si>
  <si>
    <t xml:space="preserve">  4  lůžkový                  - nadstand. vyb.</t>
  </si>
  <si>
    <t xml:space="preserve">  4  lůžkový se soc.zař. - nadstand. vyb.</t>
  </si>
  <si>
    <t>Základní režijní cena (Kč):</t>
  </si>
  <si>
    <t>Hradecké koleje</t>
  </si>
  <si>
    <t>Plzeňské koleje</t>
  </si>
  <si>
    <t>Pražské koleje</t>
  </si>
  <si>
    <t xml:space="preserve">  4  lůžkový se soc.zař. (manželské)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</si>
</sst>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#,##0.0_ ;[Red]\-#,##0.0\ "/>
    <numFmt numFmtId="168" formatCode="#,##0.00000000_ ;[Red]\-#,##0.00000000\ "/>
    <numFmt numFmtId="169" formatCode="#,##0.000000_ ;[Red]\-#,##0.000000\ "/>
    <numFmt numFmtId="170" formatCode="#,##0.0000000_ ;[Red]\-#,##0.0000000\ "/>
    <numFmt numFmtId="171" formatCode="##,##0"/>
    <numFmt numFmtId="172" formatCode="##,###"/>
    <numFmt numFmtId="173" formatCode="[&lt;=9999999]###\ ##\ ##;##\ ##\ ##\ ##"/>
    <numFmt numFmtId="174" formatCode="[&lt;=99999]###\ ##;##\ ##\ ##"/>
    <numFmt numFmtId="175" formatCode="[&lt;=999999]###\ ##;##\ ##\ ##"/>
    <numFmt numFmtId="176" formatCode="[&lt;=999999999]###\ ##;##\ ##\ ##"/>
    <numFmt numFmtId="177" formatCode="[&lt;=99999]####\####\ ##\ ##;General"/>
    <numFmt numFmtId="178" formatCode="[&lt;=99999]####\ #####\ ####;General"/>
    <numFmt numFmtId="179" formatCode="[&lt;=99999]####\ #####\ \ ####;General"/>
    <numFmt numFmtId="180" formatCode="#,##0.0"/>
    <numFmt numFmtId="181" formatCode="#,##0.000_ ;[Red]\-#,##0.000\ "/>
    <numFmt numFmtId="182" formatCode="#,##0.000000000_ ;[Red]\-#,##0.000000000\ "/>
    <numFmt numFmtId="183" formatCode="#,##0.0000000000_ ;[Red]\-#,##0.0000000000\ "/>
    <numFmt numFmtId="184" formatCode="0.0000000"/>
    <numFmt numFmtId="185" formatCode="#,##0.00000_ ;[Red]\-#,##0.00000\ "/>
    <numFmt numFmtId="186" formatCode="#,##0.00000000000_ ;[Red]\-#,##0.00000000000\ "/>
    <numFmt numFmtId="187" formatCode="0.000000"/>
    <numFmt numFmtId="188" formatCode="0.00000"/>
    <numFmt numFmtId="189" formatCode="0.0000"/>
    <numFmt numFmtId="190" formatCode="0.000"/>
    <numFmt numFmtId="191" formatCode="#,##0.0000_ ;[Red]\-#,##0.0000\ "/>
    <numFmt numFmtId="192" formatCode="0.0"/>
    <numFmt numFmtId="193" formatCode="#,##0.000"/>
    <numFmt numFmtId="194" formatCode="#,##0.0000"/>
    <numFmt numFmtId="195" formatCode="#,##0.0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8" fillId="0" borderId="1" xfId="20" applyFont="1" applyBorder="1">
      <alignment/>
      <protection/>
    </xf>
    <xf numFmtId="0" fontId="8" fillId="0" borderId="0" xfId="20" applyFont="1">
      <alignment/>
      <protection/>
    </xf>
    <xf numFmtId="0" fontId="8" fillId="0" borderId="2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8" fillId="0" borderId="0" xfId="20" applyFont="1" applyBorder="1">
      <alignment/>
      <protection/>
    </xf>
    <xf numFmtId="164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16" fontId="3" fillId="2" borderId="4" xfId="0" applyNumberFormat="1" applyFont="1" applyFill="1" applyBorder="1" applyAlignment="1">
      <alignment vertical="center"/>
    </xf>
    <xf numFmtId="16" fontId="3" fillId="2" borderId="5" xfId="0" applyNumberFormat="1" applyFont="1" applyFill="1" applyBorder="1" applyAlignment="1">
      <alignment vertical="center"/>
    </xf>
    <xf numFmtId="16" fontId="1" fillId="0" borderId="5" xfId="0" applyNumberFormat="1" applyFont="1" applyFill="1" applyBorder="1" applyAlignment="1">
      <alignment/>
    </xf>
    <xf numFmtId="49" fontId="0" fillId="0" borderId="5" xfId="0" applyNumberFormat="1" applyBorder="1" applyAlignment="1">
      <alignment vertical="top" wrapText="1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7" xfId="0" applyBorder="1" applyAlignment="1">
      <alignment/>
    </xf>
    <xf numFmtId="16" fontId="1" fillId="0" borderId="3" xfId="0" applyNumberFormat="1" applyFont="1" applyBorder="1" applyAlignment="1">
      <alignment/>
    </xf>
    <xf numFmtId="49" fontId="0" fillId="0" borderId="3" xfId="0" applyNumberFormat="1" applyBorder="1" applyAlignment="1">
      <alignment vertical="top" wrapText="1"/>
    </xf>
    <xf numFmtId="49" fontId="0" fillId="0" borderId="3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3" xfId="0" applyNumberForma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vertical="top" wrapText="1"/>
    </xf>
    <xf numFmtId="164" fontId="1" fillId="3" borderId="3" xfId="0" applyNumberFormat="1" applyFont="1" applyFill="1" applyBorder="1" applyAlignment="1">
      <alignment vertical="top" wrapText="1"/>
    </xf>
    <xf numFmtId="0" fontId="0" fillId="0" borderId="7" xfId="0" applyBorder="1" applyAlignment="1">
      <alignment horizontal="left"/>
    </xf>
    <xf numFmtId="164" fontId="1" fillId="2" borderId="3" xfId="0" applyNumberFormat="1" applyFont="1" applyFill="1" applyBorder="1" applyAlignment="1">
      <alignment/>
    </xf>
    <xf numFmtId="164" fontId="0" fillId="3" borderId="3" xfId="0" applyNumberFormat="1" applyFill="1" applyBorder="1" applyAlignment="1">
      <alignment/>
    </xf>
    <xf numFmtId="0" fontId="1" fillId="0" borderId="7" xfId="0" applyFont="1" applyBorder="1" applyAlignment="1">
      <alignment/>
    </xf>
    <xf numFmtId="4" fontId="0" fillId="0" borderId="3" xfId="0" applyNumberFormat="1" applyBorder="1" applyAlignment="1">
      <alignment/>
    </xf>
    <xf numFmtId="164" fontId="0" fillId="2" borderId="3" xfId="0" applyNumberForma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0" fillId="3" borderId="3" xfId="0" applyNumberForma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6" fontId="1" fillId="0" borderId="5" xfId="0" applyNumberFormat="1" applyFont="1" applyBorder="1" applyAlignment="1">
      <alignment/>
    </xf>
    <xf numFmtId="164" fontId="0" fillId="2" borderId="3" xfId="0" applyNumberFormat="1" applyFont="1" applyFill="1" applyBorder="1" applyAlignment="1">
      <alignment/>
    </xf>
    <xf numFmtId="0" fontId="8" fillId="0" borderId="3" xfId="20" applyFont="1" applyBorder="1">
      <alignment/>
      <protection/>
    </xf>
    <xf numFmtId="16" fontId="3" fillId="2" borderId="4" xfId="0" applyNumberFormat="1" applyFont="1" applyFill="1" applyBorder="1" applyAlignment="1">
      <alignment vertical="center" wrapText="1"/>
    </xf>
    <xf numFmtId="49" fontId="11" fillId="0" borderId="5" xfId="0" applyNumberFormat="1" applyFont="1" applyBorder="1" applyAlignment="1">
      <alignment vertical="top" wrapText="1"/>
    </xf>
    <xf numFmtId="49" fontId="10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1" xfId="0" applyBorder="1" applyAlignment="1">
      <alignment/>
    </xf>
    <xf numFmtId="49" fontId="10" fillId="0" borderId="6" xfId="0" applyNumberFormat="1" applyFont="1" applyBorder="1" applyAlignment="1">
      <alignment horizontal="center" wrapText="1"/>
    </xf>
    <xf numFmtId="0" fontId="0" fillId="4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9" fontId="0" fillId="4" borderId="8" xfId="0" applyNumberFormat="1" applyFill="1" applyBorder="1" applyAlignment="1">
      <alignment/>
    </xf>
    <xf numFmtId="0" fontId="0" fillId="0" borderId="7" xfId="0" applyFill="1" applyBorder="1" applyAlignment="1">
      <alignment horizontal="left" wrapText="1"/>
    </xf>
    <xf numFmtId="0" fontId="8" fillId="0" borderId="12" xfId="20" applyFont="1" applyBorder="1" applyAlignment="1">
      <alignment horizontal="center"/>
      <protection/>
    </xf>
    <xf numFmtId="0" fontId="8" fillId="0" borderId="13" xfId="20" applyFont="1" applyBorder="1" applyAlignment="1">
      <alignment horizontal="center"/>
      <protection/>
    </xf>
    <xf numFmtId="0" fontId="9" fillId="0" borderId="14" xfId="20" applyFont="1" applyBorder="1">
      <alignment/>
      <protection/>
    </xf>
    <xf numFmtId="0" fontId="8" fillId="0" borderId="15" xfId="20" applyFont="1" applyBorder="1" applyAlignment="1">
      <alignment horizontal="center" vertical="center"/>
      <protection/>
    </xf>
    <xf numFmtId="0" fontId="8" fillId="0" borderId="16" xfId="20" applyFont="1" applyFill="1" applyBorder="1" applyAlignment="1">
      <alignment horizontal="left"/>
      <protection/>
    </xf>
    <xf numFmtId="4" fontId="8" fillId="0" borderId="17" xfId="20" applyNumberFormat="1" applyFont="1" applyBorder="1">
      <alignment/>
      <protection/>
    </xf>
    <xf numFmtId="4" fontId="8" fillId="0" borderId="18" xfId="20" applyNumberFormat="1" applyFont="1" applyBorder="1">
      <alignment/>
      <protection/>
    </xf>
    <xf numFmtId="0" fontId="8" fillId="0" borderId="19" xfId="20" applyFont="1" applyBorder="1">
      <alignment/>
      <protection/>
    </xf>
    <xf numFmtId="0" fontId="8" fillId="0" borderId="20" xfId="20" applyFont="1" applyBorder="1">
      <alignment/>
      <protection/>
    </xf>
    <xf numFmtId="0" fontId="8" fillId="0" borderId="21" xfId="20" applyFont="1" applyBorder="1">
      <alignment/>
      <protection/>
    </xf>
    <xf numFmtId="0" fontId="8" fillId="0" borderId="17" xfId="20" applyFont="1" applyBorder="1">
      <alignment/>
      <protection/>
    </xf>
    <xf numFmtId="0" fontId="8" fillId="0" borderId="18" xfId="20" applyFont="1" applyBorder="1">
      <alignment/>
      <protection/>
    </xf>
    <xf numFmtId="0" fontId="9" fillId="3" borderId="19" xfId="20" applyFont="1" applyFill="1" applyBorder="1" applyAlignment="1">
      <alignment horizontal="center" vertical="center" textRotation="90" wrapText="1"/>
      <protection/>
    </xf>
    <xf numFmtId="0" fontId="4" fillId="3" borderId="3" xfId="20" applyFill="1" applyBorder="1" applyAlignment="1">
      <alignment horizontal="center" vertical="center" textRotation="90" wrapText="1"/>
      <protection/>
    </xf>
    <xf numFmtId="0" fontId="9" fillId="4" borderId="20" xfId="20" applyFont="1" applyFill="1" applyBorder="1" applyAlignment="1">
      <alignment horizontal="center" vertical="center" textRotation="90" wrapText="1"/>
      <protection/>
    </xf>
    <xf numFmtId="0" fontId="4" fillId="4" borderId="21" xfId="20" applyFill="1" applyBorder="1" applyAlignment="1">
      <alignment horizontal="center" vertical="center" textRotation="90" wrapText="1"/>
      <protection/>
    </xf>
    <xf numFmtId="0" fontId="9" fillId="2" borderId="19" xfId="20" applyFont="1" applyFill="1" applyBorder="1" applyAlignment="1">
      <alignment horizontal="center" vertical="center" textRotation="90" wrapText="1"/>
      <protection/>
    </xf>
    <xf numFmtId="0" fontId="4" fillId="2" borderId="3" xfId="20" applyFill="1" applyBorder="1" applyAlignment="1">
      <alignment horizontal="center" vertical="center" textRotation="90" wrapText="1"/>
      <protection/>
    </xf>
    <xf numFmtId="0" fontId="9" fillId="4" borderId="19" xfId="20" applyFont="1" applyFill="1" applyBorder="1" applyAlignment="1">
      <alignment horizontal="center" vertical="center" textRotation="90" wrapText="1"/>
      <protection/>
    </xf>
    <xf numFmtId="0" fontId="4" fillId="4" borderId="3" xfId="20" applyFill="1" applyBorder="1" applyAlignment="1">
      <alignment horizontal="center" vertical="center" textRotation="90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aM 04_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D21" sqref="D21"/>
    </sheetView>
  </sheetViews>
  <sheetFormatPr defaultColWidth="9.140625" defaultRowHeight="12.75"/>
  <cols>
    <col min="1" max="1" width="36.28125" style="10" customWidth="1"/>
    <col min="2" max="2" width="24.00390625" style="0" customWidth="1"/>
  </cols>
  <sheetData>
    <row r="1" spans="1:2" ht="74.25" customHeight="1">
      <c r="A1" s="48" t="s">
        <v>26</v>
      </c>
      <c r="B1" s="53" t="s">
        <v>76</v>
      </c>
    </row>
    <row r="2" spans="1:2" ht="12.75">
      <c r="A2" s="30" t="s">
        <v>58</v>
      </c>
      <c r="B2" s="54">
        <v>1.25</v>
      </c>
    </row>
    <row r="3" spans="1:2" ht="12.75">
      <c r="A3" s="30" t="s">
        <v>80</v>
      </c>
      <c r="B3" s="26">
        <f>B2*B23</f>
        <v>1.3125</v>
      </c>
    </row>
    <row r="4" spans="1:2" ht="12.75">
      <c r="A4" s="30" t="s">
        <v>63</v>
      </c>
      <c r="B4" s="55">
        <f>B2*B21</f>
        <v>1.4375</v>
      </c>
    </row>
    <row r="5" spans="1:2" ht="12.75">
      <c r="A5" s="30" t="s">
        <v>81</v>
      </c>
      <c r="B5" s="55">
        <f>B4*B23</f>
        <v>1.5093750000000001</v>
      </c>
    </row>
    <row r="6" spans="1:2" ht="12.75">
      <c r="A6" s="30" t="s">
        <v>59</v>
      </c>
      <c r="B6" s="54">
        <v>1</v>
      </c>
    </row>
    <row r="7" spans="1:2" ht="12.75">
      <c r="A7" s="30" t="s">
        <v>82</v>
      </c>
      <c r="B7" s="26">
        <f>B6*B23</f>
        <v>1.05</v>
      </c>
    </row>
    <row r="8" spans="1:2" ht="12.75">
      <c r="A8" s="30" t="s">
        <v>64</v>
      </c>
      <c r="B8" s="55">
        <f>B6*B21</f>
        <v>1.15</v>
      </c>
    </row>
    <row r="9" spans="1:2" ht="12.75">
      <c r="A9" s="30" t="s">
        <v>83</v>
      </c>
      <c r="B9" s="55">
        <f>B8*B23</f>
        <v>1.2075</v>
      </c>
    </row>
    <row r="10" spans="1:2" ht="12.75">
      <c r="A10" s="30" t="s">
        <v>60</v>
      </c>
      <c r="B10" s="54">
        <v>0.8</v>
      </c>
    </row>
    <row r="11" spans="1:2" ht="12.75">
      <c r="A11" s="30" t="s">
        <v>84</v>
      </c>
      <c r="B11" s="26">
        <f>B10*B23</f>
        <v>0.8400000000000001</v>
      </c>
    </row>
    <row r="12" spans="1:2" ht="12.75">
      <c r="A12" s="30" t="s">
        <v>65</v>
      </c>
      <c r="B12" s="55">
        <f>B10*B21</f>
        <v>0.9199999999999999</v>
      </c>
    </row>
    <row r="13" spans="1:2" ht="12.75">
      <c r="A13" s="30" t="s">
        <v>85</v>
      </c>
      <c r="B13" s="55">
        <f>B12*B23</f>
        <v>0.966</v>
      </c>
    </row>
    <row r="14" spans="1:2" ht="12.75">
      <c r="A14" s="30" t="s">
        <v>61</v>
      </c>
      <c r="B14" s="54">
        <v>0.7</v>
      </c>
    </row>
    <row r="15" spans="1:2" ht="12.75">
      <c r="A15" s="30" t="s">
        <v>86</v>
      </c>
      <c r="B15" s="26">
        <f>B14*B23</f>
        <v>0.735</v>
      </c>
    </row>
    <row r="16" spans="1:2" ht="12.75">
      <c r="A16" s="30" t="s">
        <v>66</v>
      </c>
      <c r="B16" s="55">
        <f>B14*B21</f>
        <v>0.8049999999999999</v>
      </c>
    </row>
    <row r="17" spans="1:2" ht="12.75">
      <c r="A17" s="30" t="s">
        <v>87</v>
      </c>
      <c r="B17" s="55">
        <f>B16*B23</f>
        <v>0.84525</v>
      </c>
    </row>
    <row r="18" spans="1:2" ht="12.75">
      <c r="A18" s="30" t="s">
        <v>62</v>
      </c>
      <c r="B18" s="54">
        <v>0.6</v>
      </c>
    </row>
    <row r="19" spans="1:2" ht="12.75">
      <c r="A19" s="30" t="s">
        <v>67</v>
      </c>
      <c r="B19" s="26">
        <f>B18*B21</f>
        <v>0.69</v>
      </c>
    </row>
    <row r="20" spans="1:2" ht="12.75">
      <c r="A20" s="49"/>
      <c r="B20" s="26"/>
    </row>
    <row r="21" spans="1:2" ht="28.5" customHeight="1">
      <c r="A21" s="57" t="s">
        <v>77</v>
      </c>
      <c r="B21" s="54">
        <v>1.15</v>
      </c>
    </row>
    <row r="22" spans="1:2" ht="12.75">
      <c r="A22" s="49"/>
      <c r="B22" s="26"/>
    </row>
    <row r="23" spans="1:2" ht="12.75">
      <c r="A23" s="49" t="s">
        <v>78</v>
      </c>
      <c r="B23" s="54">
        <v>1.05</v>
      </c>
    </row>
    <row r="24" spans="1:2" ht="12.75">
      <c r="A24" s="50"/>
      <c r="B24" s="26"/>
    </row>
    <row r="25" spans="1:2" ht="12.75">
      <c r="A25" s="49" t="s">
        <v>79</v>
      </c>
      <c r="B25" s="56">
        <v>1.05</v>
      </c>
    </row>
    <row r="26" spans="1:2" ht="12.75">
      <c r="A26" s="51"/>
      <c r="B26" s="52"/>
    </row>
    <row r="28" ht="12.75">
      <c r="A28" s="10" t="s">
        <v>75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&amp;CPříloha k opatření rektora č.   9/2005
</oddHeader>
    <oddFooter>&amp;L&amp;D  &amp;T  J.F.&amp;C&amp;F \ &amp;A&amp;R&amp;P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9.71093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140625" style="0" customWidth="1"/>
    <col min="8" max="8" width="14.00390625" style="0" customWidth="1"/>
    <col min="9" max="9" width="13.00390625" style="0" customWidth="1"/>
    <col min="10" max="10" width="3.4218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38</v>
      </c>
      <c r="B2" s="12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koleje'!J3</f>
        <v>72.17049761365932</v>
      </c>
      <c r="F4" s="23"/>
      <c r="G4" s="9"/>
      <c r="H4" s="24">
        <f>E4*365/12</f>
        <v>2195.185969082138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>
        <v>138</v>
      </c>
      <c r="C10" s="9">
        <f>B10*1</f>
        <v>138</v>
      </c>
      <c r="D10" s="9">
        <f>Koeficienty!B4</f>
        <v>1.4375</v>
      </c>
      <c r="E10" s="31">
        <f>IF(B10&gt;0,$E$12*D10," ")</f>
        <v>84.2185582948188</v>
      </c>
      <c r="F10" s="31">
        <f>IF(E10=" "," ",E10*Koeficienty!$B$25)</f>
        <v>88.42948620955976</v>
      </c>
      <c r="G10" s="32">
        <f t="shared" si="0"/>
        <v>11622.161044684995</v>
      </c>
      <c r="H10" s="31">
        <f t="shared" si="1"/>
        <v>2561.6478148007386</v>
      </c>
      <c r="I10" s="31">
        <f>IF(H10=" "," ",H10*Koeficienty!$B$25)</f>
        <v>2689.730205540776</v>
      </c>
      <c r="J10" s="25"/>
    </row>
    <row r="11" spans="1:10" ht="12.75">
      <c r="A11" s="30" t="s">
        <v>81</v>
      </c>
      <c r="B11" s="9">
        <v>99</v>
      </c>
      <c r="C11" s="9">
        <f>B11*1</f>
        <v>99</v>
      </c>
      <c r="D11" s="9">
        <f>Koeficienty!B5</f>
        <v>1.5093750000000001</v>
      </c>
      <c r="E11" s="31">
        <f>IF(B11&gt;0,$E$12*D11," ")</f>
        <v>88.42948620955976</v>
      </c>
      <c r="F11" s="31">
        <f>IF(E11=" "," ",E11*Koeficienty!$B$25)</f>
        <v>92.85096052003775</v>
      </c>
      <c r="G11" s="32">
        <f t="shared" si="0"/>
        <v>8754.519134746415</v>
      </c>
      <c r="H11" s="31">
        <f t="shared" si="1"/>
        <v>2689.730205540776</v>
      </c>
      <c r="I11" s="31">
        <f>IF(H11=" "," ",H11*Koeficienty!$B$25)</f>
        <v>2824.216715817815</v>
      </c>
      <c r="J11" s="25"/>
    </row>
    <row r="12" spans="1:10" ht="12.75">
      <c r="A12" s="30" t="s">
        <v>59</v>
      </c>
      <c r="B12" s="9"/>
      <c r="C12" s="9">
        <f>B12*2</f>
        <v>0</v>
      </c>
      <c r="D12" s="9">
        <f>Koeficienty!B6</f>
        <v>1</v>
      </c>
      <c r="E12" s="44">
        <f>B30/(C8*D8+C9*D9+C10*D10+C11*D11+C12*D12+C13*D13+C14*D14+C15*D15+C16*D16+C17*D17+C18*D18+C19*D19+C20*D20+C21*D21+C22*D22+C23*D23+C24*D24+C25*D25)</f>
        <v>58.58682316161308</v>
      </c>
      <c r="F12" s="44">
        <f>IF(E12=" "," ",E12*Koeficienty!$B$25)</f>
        <v>61.516164319693736</v>
      </c>
      <c r="G12" s="32">
        <f t="shared" si="0"/>
        <v>0</v>
      </c>
      <c r="H12" s="44">
        <f t="shared" si="1"/>
        <v>1782.0158711657314</v>
      </c>
      <c r="I12" s="44">
        <f>IF(H12=" "," ",H12*Koeficienty!$B$25)</f>
        <v>1871.116664724018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265</v>
      </c>
      <c r="C14" s="9">
        <f>B14*2</f>
        <v>530</v>
      </c>
      <c r="D14" s="9">
        <f>Koeficienty!B8</f>
        <v>1.15</v>
      </c>
      <c r="E14" s="31">
        <f t="shared" si="2"/>
        <v>67.37484663585504</v>
      </c>
      <c r="F14" s="31">
        <f>IF(E14=" "," ",E14*Koeficienty!$B$25)</f>
        <v>70.7435889676478</v>
      </c>
      <c r="G14" s="32">
        <f t="shared" si="0"/>
        <v>35708.668717003166</v>
      </c>
      <c r="H14" s="31">
        <f t="shared" si="1"/>
        <v>2049.3182518405906</v>
      </c>
      <c r="I14" s="31">
        <f>IF(H14=" "," ",H14*Koeficienty!$B$25)</f>
        <v>2151.7841644326204</v>
      </c>
      <c r="J14" s="25"/>
    </row>
    <row r="15" spans="1:10" ht="12.75">
      <c r="A15" s="30" t="s">
        <v>83</v>
      </c>
      <c r="B15" s="9">
        <v>256</v>
      </c>
      <c r="C15" s="9">
        <f>B15*2</f>
        <v>512</v>
      </c>
      <c r="D15" s="9">
        <f>Koeficienty!B9</f>
        <v>1.2075</v>
      </c>
      <c r="E15" s="31">
        <f t="shared" si="2"/>
        <v>70.7435889676478</v>
      </c>
      <c r="F15" s="31">
        <f>IF(E15=" "," ",E15*Koeficienty!$B$25)</f>
        <v>74.28076841603018</v>
      </c>
      <c r="G15" s="32">
        <f t="shared" si="0"/>
        <v>36220.71755143567</v>
      </c>
      <c r="H15" s="31">
        <f t="shared" si="1"/>
        <v>2151.7841644326204</v>
      </c>
      <c r="I15" s="31">
        <f>IF(H15=" "," ",H15*Koeficienty!$B$25)</f>
        <v>2259.3733726542514</v>
      </c>
      <c r="J15" s="25"/>
    </row>
    <row r="16" spans="1:10" ht="12.75">
      <c r="A16" s="30" t="s">
        <v>60</v>
      </c>
      <c r="B16" s="9"/>
      <c r="C16" s="9">
        <f>B16*3</f>
        <v>0</v>
      </c>
      <c r="D16" s="9">
        <f>Koeficienty!B10</f>
        <v>0.8</v>
      </c>
      <c r="E16" s="31" t="str">
        <f t="shared" si="2"/>
        <v> </v>
      </c>
      <c r="F16" s="31" t="str">
        <f>IF(E16=" "," ",E16*Koeficienty!$B$25)</f>
        <v> </v>
      </c>
      <c r="G16" s="32" t="str">
        <f t="shared" si="0"/>
        <v> </v>
      </c>
      <c r="H16" s="31" t="str">
        <f t="shared" si="1"/>
        <v> </v>
      </c>
      <c r="I16" s="31" t="str">
        <f>IF(H16=" "," ",H16*Koeficienty!$B$25)</f>
        <v> 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1279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1279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72.17049761365932</v>
      </c>
      <c r="C29" s="34"/>
      <c r="D29" s="34"/>
      <c r="E29" s="24"/>
      <c r="F29" s="24"/>
      <c r="G29" s="32"/>
      <c r="H29" s="35">
        <f>B29*365/12</f>
        <v>2195.185969082138</v>
      </c>
      <c r="I29" s="24"/>
      <c r="J29" s="25"/>
    </row>
    <row r="30" spans="1:10" ht="12.75">
      <c r="A30" s="18" t="s">
        <v>5</v>
      </c>
      <c r="B30" s="36">
        <f>B28*B29</f>
        <v>92306.06644787027</v>
      </c>
      <c r="C30" s="37"/>
      <c r="D30" s="37"/>
      <c r="E30" s="32"/>
      <c r="F30" s="32"/>
      <c r="G30" s="38">
        <f>SUM(G8:G25)</f>
        <v>92306.06644787025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9.1406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28125" style="0" customWidth="1"/>
    <col min="8" max="8" width="14.00390625" style="0" customWidth="1"/>
    <col min="9" max="9" width="13.00390625" style="0" customWidth="1"/>
    <col min="10" max="10" width="4.4218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37</v>
      </c>
      <c r="B2" s="12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koleje'!K3</f>
        <v>129.27634066248012</v>
      </c>
      <c r="F4" s="23"/>
      <c r="G4" s="9"/>
      <c r="H4" s="24">
        <f>E4*365/12</f>
        <v>3932.1553618171038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>
        <v>106</v>
      </c>
      <c r="C10" s="9">
        <f>B10*1</f>
        <v>106</v>
      </c>
      <c r="D10" s="9">
        <f>Koeficienty!B4</f>
        <v>1.4375</v>
      </c>
      <c r="E10" s="31">
        <f>IF(B10&gt;0,$E$12*D10," ")</f>
        <v>146.3288347962119</v>
      </c>
      <c r="F10" s="31">
        <f>IF(E10=" "," ",E10*Koeficienty!$B$25)</f>
        <v>153.64527653602252</v>
      </c>
      <c r="G10" s="32">
        <f t="shared" si="0"/>
        <v>15510.856488398462</v>
      </c>
      <c r="H10" s="31">
        <f t="shared" si="1"/>
        <v>4450.835391718112</v>
      </c>
      <c r="I10" s="31">
        <f>IF(H10=" "," ",H10*Koeficienty!$B$25)</f>
        <v>4673.377161304018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/>
      <c r="C12" s="9">
        <f>B12*2</f>
        <v>0</v>
      </c>
      <c r="D12" s="9">
        <f>Koeficienty!B6</f>
        <v>1</v>
      </c>
      <c r="E12" s="44">
        <f>B30/(C8*D8+C9*D9+C10*D10+C11*D11+C12*D12+C13*D13+C14*D14+C15*D15+C16*D16+C17*D17+C18*D18+C19*D19+C20*D20+C21*D21+C22*D22+C23*D23+C24*D24+C25*D25)</f>
        <v>101.79397203214742</v>
      </c>
      <c r="F12" s="44">
        <f>IF(E12=" "," ",E12*Koeficienty!$B$25)</f>
        <v>106.8836706337548</v>
      </c>
      <c r="G12" s="32">
        <f t="shared" si="0"/>
        <v>0</v>
      </c>
      <c r="H12" s="44">
        <f t="shared" si="1"/>
        <v>3096.2333159778173</v>
      </c>
      <c r="I12" s="44">
        <f>IF(H12=" "," ",H12*Koeficienty!$B$25)</f>
        <v>3251.0449817767085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74</v>
      </c>
      <c r="C14" s="9">
        <f>B14*2</f>
        <v>148</v>
      </c>
      <c r="D14" s="9">
        <f>Koeficienty!B8</f>
        <v>1.15</v>
      </c>
      <c r="E14" s="31">
        <f t="shared" si="2"/>
        <v>117.06306783696952</v>
      </c>
      <c r="F14" s="31">
        <f>IF(E14=" "," ",E14*Koeficienty!$B$25)</f>
        <v>122.916221228818</v>
      </c>
      <c r="G14" s="32">
        <f t="shared" si="0"/>
        <v>17325.33403987149</v>
      </c>
      <c r="H14" s="31">
        <f t="shared" si="1"/>
        <v>3560.6683133744896</v>
      </c>
      <c r="I14" s="31">
        <f>IF(H14=" "," ",H14*Koeficienty!$B$25)</f>
        <v>3738.701729043214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/>
      <c r="C16" s="9">
        <f>B16*3</f>
        <v>0</v>
      </c>
      <c r="D16" s="9">
        <f>Koeficienty!B10</f>
        <v>0.8</v>
      </c>
      <c r="E16" s="31" t="str">
        <f t="shared" si="2"/>
        <v> </v>
      </c>
      <c r="F16" s="31" t="str">
        <f>IF(E16=" "," ",E16*Koeficienty!$B$25)</f>
        <v> </v>
      </c>
      <c r="G16" s="32" t="str">
        <f t="shared" si="0"/>
        <v> </v>
      </c>
      <c r="H16" s="31" t="str">
        <f t="shared" si="1"/>
        <v> </v>
      </c>
      <c r="I16" s="31" t="str">
        <f>IF(H16=" "," ",H16*Koeficienty!$B$25)</f>
        <v> 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254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254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129.27634066248012</v>
      </c>
      <c r="C29" s="34"/>
      <c r="D29" s="34"/>
      <c r="E29" s="24"/>
      <c r="F29" s="24"/>
      <c r="G29" s="32"/>
      <c r="H29" s="35">
        <f>B29*365/12</f>
        <v>3932.1553618171038</v>
      </c>
      <c r="I29" s="24"/>
      <c r="J29" s="25"/>
    </row>
    <row r="30" spans="1:10" ht="12.75">
      <c r="A30" s="18" t="s">
        <v>5</v>
      </c>
      <c r="B30" s="36">
        <f>B28*B29</f>
        <v>32836.19052826995</v>
      </c>
      <c r="C30" s="37"/>
      <c r="D30" s="37"/>
      <c r="E30" s="32"/>
      <c r="F30" s="32"/>
      <c r="G30" s="38">
        <f>SUM(G8:G25)</f>
        <v>32836.19052826995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  <col min="10" max="10" width="5.4218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39</v>
      </c>
      <c r="B2" s="12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koleje'!L3</f>
        <v>92.33220725838952</v>
      </c>
      <c r="F4" s="23"/>
      <c r="G4" s="9"/>
      <c r="H4" s="24">
        <f>E4*365/12</f>
        <v>2808.4379707760145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v>20</v>
      </c>
      <c r="C12" s="9">
        <f>B12*2</f>
        <v>40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99.93166151801532</v>
      </c>
      <c r="F12" s="31">
        <f>IF(E12=" "," ",E12*Koeficienty!$B$25)</f>
        <v>104.92824459391609</v>
      </c>
      <c r="G12" s="32">
        <f t="shared" si="0"/>
        <v>3997.2664607206125</v>
      </c>
      <c r="H12" s="31">
        <f t="shared" si="1"/>
        <v>3039.5880378396323</v>
      </c>
      <c r="I12" s="31">
        <f>IF(H12=" "," ",H12*Koeficienty!$B$25)</f>
        <v>3191.567439731614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5</v>
      </c>
      <c r="C14" s="9">
        <f>B14*2</f>
        <v>10</v>
      </c>
      <c r="D14" s="9">
        <f>Koeficienty!B8</f>
        <v>1.15</v>
      </c>
      <c r="E14" s="31">
        <f t="shared" si="2"/>
        <v>114.92141074571761</v>
      </c>
      <c r="F14" s="31">
        <f>IF(E14=" "," ",E14*Koeficienty!$B$25)</f>
        <v>120.6674812830035</v>
      </c>
      <c r="G14" s="32">
        <f t="shared" si="0"/>
        <v>1149.2141074571762</v>
      </c>
      <c r="H14" s="31">
        <f t="shared" si="1"/>
        <v>3495.526243515577</v>
      </c>
      <c r="I14" s="31">
        <f>IF(H14=" "," ",H14*Koeficienty!$B$25)</f>
        <v>3670.302555691356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>
        <v>7</v>
      </c>
      <c r="C16" s="9">
        <f>B16*3</f>
        <v>21</v>
      </c>
      <c r="D16" s="9">
        <f>Koeficienty!B10</f>
        <v>0.8</v>
      </c>
      <c r="E16" s="31">
        <f t="shared" si="2"/>
        <v>79.94532921441225</v>
      </c>
      <c r="F16" s="31">
        <f>IF(E16=" "," ",E16*Koeficienty!$B$25)</f>
        <v>83.94259567513286</v>
      </c>
      <c r="G16" s="32">
        <f t="shared" si="0"/>
        <v>1678.8519135026572</v>
      </c>
      <c r="H16" s="31">
        <f t="shared" si="1"/>
        <v>2431.670430271706</v>
      </c>
      <c r="I16" s="31">
        <f>IF(H16=" "," ",H16*Koeficienty!$B$25)</f>
        <v>2553.2539517852915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>
        <v>1</v>
      </c>
      <c r="C18" s="9">
        <f>B18*3</f>
        <v>3</v>
      </c>
      <c r="D18" s="9">
        <f>Koeficienty!B12</f>
        <v>0.9199999999999999</v>
      </c>
      <c r="E18" s="31">
        <f t="shared" si="2"/>
        <v>91.93712859657408</v>
      </c>
      <c r="F18" s="31">
        <f>IF(E18=" "," ",E18*Koeficienty!$B$25)</f>
        <v>96.53398502640279</v>
      </c>
      <c r="G18" s="32">
        <f t="shared" si="0"/>
        <v>275.81138578972224</v>
      </c>
      <c r="H18" s="31">
        <f t="shared" si="1"/>
        <v>2796.420994812462</v>
      </c>
      <c r="I18" s="31">
        <f>IF(H18=" "," ",H18*Koeficienty!$B$25)</f>
        <v>2936.242044553085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>
        <v>3</v>
      </c>
      <c r="C20" s="9">
        <f>B20*4</f>
        <v>12</v>
      </c>
      <c r="D20" s="9">
        <f>Koeficienty!B14</f>
        <v>0.7</v>
      </c>
      <c r="E20" s="31">
        <f t="shared" si="2"/>
        <v>69.95216306261072</v>
      </c>
      <c r="F20" s="31">
        <f>IF(E20=" "," ",E20*Koeficienty!$B$25)</f>
        <v>73.44977121574126</v>
      </c>
      <c r="G20" s="32">
        <f t="shared" si="0"/>
        <v>839.4259567513286</v>
      </c>
      <c r="H20" s="31">
        <f t="shared" si="1"/>
        <v>2127.7116264877427</v>
      </c>
      <c r="I20" s="31">
        <f>IF(H20=" "," ",H20*Koeficienty!$B$25)</f>
        <v>2234.09720781213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86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86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92.33220725838952</v>
      </c>
      <c r="C29" s="34"/>
      <c r="D29" s="34"/>
      <c r="E29" s="24"/>
      <c r="F29" s="24"/>
      <c r="G29" s="32"/>
      <c r="H29" s="35">
        <f>B29*365/12</f>
        <v>2808.4379707760145</v>
      </c>
      <c r="I29" s="24"/>
      <c r="J29" s="25"/>
    </row>
    <row r="30" spans="1:10" ht="12.75">
      <c r="A30" s="18" t="s">
        <v>5</v>
      </c>
      <c r="B30" s="36">
        <f>B28*B29</f>
        <v>7940.5698242214985</v>
      </c>
      <c r="C30" s="37"/>
      <c r="D30" s="37"/>
      <c r="E30" s="32"/>
      <c r="F30" s="32"/>
      <c r="G30" s="38">
        <f>SUM(G8:G25)</f>
        <v>7940.569824221497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9.1406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140625" style="0" customWidth="1"/>
    <col min="8" max="8" width="14.00390625" style="0" customWidth="1"/>
    <col min="9" max="9" width="13.00390625" style="0" customWidth="1"/>
    <col min="10" max="10" width="4.574218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40</v>
      </c>
      <c r="B2" s="15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koleje'!M3</f>
        <v>64.42542742527606</v>
      </c>
      <c r="F4" s="23"/>
      <c r="G4" s="9"/>
      <c r="H4" s="24">
        <f>E4*365/12</f>
        <v>1959.6067508521467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v>78</v>
      </c>
      <c r="C12" s="9">
        <f>B12*2</f>
        <v>156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64.42542742527606</v>
      </c>
      <c r="F12" s="31">
        <f>IF(E12=" "," ",E12*Koeficienty!$B$25)</f>
        <v>67.64669879653987</v>
      </c>
      <c r="G12" s="32">
        <f t="shared" si="0"/>
        <v>10050.366678343065</v>
      </c>
      <c r="H12" s="31">
        <f t="shared" si="1"/>
        <v>1959.6067508521467</v>
      </c>
      <c r="I12" s="31">
        <f>IF(H12=" "," ",H12*Koeficienty!$B$25)</f>
        <v>2057.587088394754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/>
      <c r="C14" s="9">
        <f>B14*2</f>
        <v>0</v>
      </c>
      <c r="D14" s="9">
        <f>Koeficienty!B8</f>
        <v>1.15</v>
      </c>
      <c r="E14" s="31" t="str">
        <f t="shared" si="2"/>
        <v> </v>
      </c>
      <c r="F14" s="31" t="str">
        <f>IF(E14=" "," ",E14*Koeficienty!$B$25)</f>
        <v> </v>
      </c>
      <c r="G14" s="32" t="str">
        <f t="shared" si="0"/>
        <v> </v>
      </c>
      <c r="H14" s="31" t="str">
        <f t="shared" si="1"/>
        <v> </v>
      </c>
      <c r="I14" s="31" t="str">
        <f>IF(H14=" "," ",H14*Koeficienty!$B$25)</f>
        <v> 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/>
      <c r="C16" s="9">
        <f>B16*3</f>
        <v>0</v>
      </c>
      <c r="D16" s="9">
        <f>Koeficienty!B10</f>
        <v>0.8</v>
      </c>
      <c r="E16" s="31" t="str">
        <f t="shared" si="2"/>
        <v> </v>
      </c>
      <c r="F16" s="31" t="str">
        <f>IF(E16=" "," ",E16*Koeficienty!$B$25)</f>
        <v> </v>
      </c>
      <c r="G16" s="32" t="str">
        <f t="shared" si="0"/>
        <v> </v>
      </c>
      <c r="H16" s="31" t="str">
        <f t="shared" si="1"/>
        <v> </v>
      </c>
      <c r="I16" s="31" t="str">
        <f>IF(H16=" "," ",H16*Koeficienty!$B$25)</f>
        <v> 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156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156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64.42542742527606</v>
      </c>
      <c r="C29" s="34"/>
      <c r="D29" s="34"/>
      <c r="E29" s="24"/>
      <c r="F29" s="24"/>
      <c r="G29" s="32"/>
      <c r="H29" s="35">
        <f>B29*365/12</f>
        <v>1959.6067508521467</v>
      </c>
      <c r="I29" s="24"/>
      <c r="J29" s="25"/>
    </row>
    <row r="30" spans="1:10" ht="12.75">
      <c r="A30" s="18" t="s">
        <v>5</v>
      </c>
      <c r="B30" s="36">
        <f>B28*B29</f>
        <v>10050.366678343065</v>
      </c>
      <c r="C30" s="37"/>
      <c r="D30" s="37"/>
      <c r="E30" s="32"/>
      <c r="F30" s="32"/>
      <c r="G30" s="38">
        <f>SUM(G8:G25)</f>
        <v>10050.366678343065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8">
      <selection activeCell="E5" sqref="E5"/>
    </sheetView>
  </sheetViews>
  <sheetFormatPr defaultColWidth="9.140625" defaultRowHeight="12.75"/>
  <cols>
    <col min="1" max="1" width="33.57421875" style="0" customWidth="1"/>
    <col min="2" max="2" width="9.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140625" style="0" customWidth="1"/>
    <col min="8" max="8" width="14.00390625" style="0" customWidth="1"/>
    <col min="9" max="9" width="13.00390625" style="0" customWidth="1"/>
    <col min="10" max="10" width="5.851562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41</v>
      </c>
      <c r="B2" s="15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koleje'!N3</f>
        <v>78.68303633015215</v>
      </c>
      <c r="F4" s="23"/>
      <c r="G4" s="9"/>
      <c r="H4" s="24">
        <f>E4*365/12</f>
        <v>2393.2756883754614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v>21</v>
      </c>
      <c r="C12" s="9">
        <f>B12*2</f>
        <v>42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97.93526862370001</v>
      </c>
      <c r="F12" s="31">
        <f>IF(E12=" "," ",E12*Koeficienty!$B$25)</f>
        <v>102.83203205488502</v>
      </c>
      <c r="G12" s="32">
        <f t="shared" si="0"/>
        <v>4113.2812821954</v>
      </c>
      <c r="H12" s="31">
        <f t="shared" si="1"/>
        <v>2978.8644206375416</v>
      </c>
      <c r="I12" s="31">
        <f>IF(H12=" "," ",H12*Koeficienty!$B$25)</f>
        <v>3127.807641669419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/>
      <c r="C14" s="9">
        <f>B14*2</f>
        <v>0</v>
      </c>
      <c r="D14" s="9">
        <f>Koeficienty!B8</f>
        <v>1.15</v>
      </c>
      <c r="E14" s="31" t="str">
        <f t="shared" si="2"/>
        <v> </v>
      </c>
      <c r="F14" s="31" t="str">
        <f>IF(E14=" "," ",E14*Koeficienty!$B$25)</f>
        <v> </v>
      </c>
      <c r="G14" s="32" t="str">
        <f t="shared" si="0"/>
        <v> </v>
      </c>
      <c r="H14" s="31" t="str">
        <f t="shared" si="1"/>
        <v> </v>
      </c>
      <c r="I14" s="31" t="str">
        <f>IF(H14=" "," ",H14*Koeficienty!$B$25)</f>
        <v> 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>
        <v>42</v>
      </c>
      <c r="C16" s="9">
        <f>B16*3</f>
        <v>126</v>
      </c>
      <c r="D16" s="9">
        <f>Koeficienty!B10</f>
        <v>0.8</v>
      </c>
      <c r="E16" s="31">
        <f t="shared" si="2"/>
        <v>78.34821489896001</v>
      </c>
      <c r="F16" s="31">
        <f>IF(E16=" "," ",E16*Koeficienty!$B$25)</f>
        <v>82.26562564390801</v>
      </c>
      <c r="G16" s="32">
        <f t="shared" si="0"/>
        <v>9871.875077268962</v>
      </c>
      <c r="H16" s="31">
        <f t="shared" si="1"/>
        <v>2383.0915365100336</v>
      </c>
      <c r="I16" s="31">
        <f>IF(H16=" "," ",H16*Koeficienty!$B$25)</f>
        <v>2502.2461133355355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>
        <v>14</v>
      </c>
      <c r="C20" s="9">
        <f>B20*4</f>
        <v>56</v>
      </c>
      <c r="D20" s="9">
        <f>Koeficienty!B14</f>
        <v>0.7</v>
      </c>
      <c r="E20" s="31">
        <f t="shared" si="2"/>
        <v>68.55468803659001</v>
      </c>
      <c r="F20" s="31">
        <f>IF(E20=" "," ",E20*Koeficienty!$B$25)</f>
        <v>71.9824224384195</v>
      </c>
      <c r="G20" s="32">
        <f t="shared" si="0"/>
        <v>3839.0625300490406</v>
      </c>
      <c r="H20" s="31">
        <f t="shared" si="1"/>
        <v>2085.2050944462794</v>
      </c>
      <c r="I20" s="31">
        <f>IF(H20=" "," ",H20*Koeficienty!$B$25)</f>
        <v>2189.4653491685935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>
        <v>2</v>
      </c>
      <c r="C24" s="9">
        <f>B24*5</f>
        <v>10</v>
      </c>
      <c r="D24" s="9">
        <f>Koeficienty!B18</f>
        <v>0.6</v>
      </c>
      <c r="E24" s="31">
        <f t="shared" si="2"/>
        <v>58.76116117422001</v>
      </c>
      <c r="F24" s="31">
        <f>IF(E24=" "," ",E24*Koeficienty!$B$25)</f>
        <v>61.69921923293101</v>
      </c>
      <c r="G24" s="32">
        <f t="shared" si="0"/>
        <v>587.6116117422</v>
      </c>
      <c r="H24" s="31">
        <f t="shared" si="1"/>
        <v>1787.3186523825252</v>
      </c>
      <c r="I24" s="31">
        <f>IF(H24=" "," ",H24*Koeficienty!$B$25)</f>
        <v>1876.6845850016516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234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234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78.68303633015215</v>
      </c>
      <c r="C29" s="34"/>
      <c r="D29" s="34"/>
      <c r="E29" s="24"/>
      <c r="F29" s="24"/>
      <c r="G29" s="32"/>
      <c r="H29" s="35">
        <f>B29*365/12</f>
        <v>2393.2756883754614</v>
      </c>
      <c r="I29" s="24"/>
      <c r="J29" s="25"/>
    </row>
    <row r="30" spans="1:10" ht="12.75">
      <c r="A30" s="18" t="s">
        <v>5</v>
      </c>
      <c r="B30" s="36">
        <f>B28*B29</f>
        <v>18411.8305012556</v>
      </c>
      <c r="C30" s="37"/>
      <c r="D30" s="37"/>
      <c r="E30" s="32"/>
      <c r="F30" s="32"/>
      <c r="G30" s="38">
        <f>SUM(G8:G25)</f>
        <v>18411.8305012556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10.003906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57421875" style="0" customWidth="1"/>
    <col min="8" max="8" width="14.00390625" style="0" customWidth="1"/>
    <col min="9" max="9" width="13.00390625" style="0" customWidth="1"/>
    <col min="10" max="10" width="4.574218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42</v>
      </c>
      <c r="B2" s="12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koleje'!O3</f>
        <v>82.28354272326524</v>
      </c>
      <c r="F4" s="23"/>
      <c r="G4" s="9"/>
      <c r="H4" s="24">
        <f>E4*365/12</f>
        <v>2502.791091165984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/>
      <c r="C12" s="9">
        <f>B12*2</f>
        <v>0</v>
      </c>
      <c r="D12" s="9">
        <f>Koeficienty!B6</f>
        <v>1</v>
      </c>
      <c r="E12" s="44">
        <f>B30/(C8*D8+C9*D9+C10*D10+C11*D11+C12*D12+C13*D13+C14*D14+C15*D15+C16*D16+C17*D17+C18*D18+C19*D19+C20*D20+C21*D21+C22*D22+C23*D23+C24*D24+C25*D25)</f>
        <v>71.55090671588282</v>
      </c>
      <c r="F12" s="44">
        <f>IF(E12=" "," ",E12*Koeficienty!$B$25)</f>
        <v>75.12845205167696</v>
      </c>
      <c r="G12" s="32">
        <f t="shared" si="0"/>
        <v>0</v>
      </c>
      <c r="H12" s="44">
        <f t="shared" si="1"/>
        <v>2176.3400792747693</v>
      </c>
      <c r="I12" s="44">
        <f>IF(H12=" "," ",H12*Koeficienty!$B$25)</f>
        <v>2285.1570832385078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736</v>
      </c>
      <c r="C14" s="9">
        <f>B14*2</f>
        <v>1472</v>
      </c>
      <c r="D14" s="9">
        <f>Koeficienty!B8</f>
        <v>1.15</v>
      </c>
      <c r="E14" s="31">
        <f t="shared" si="2"/>
        <v>82.28354272326523</v>
      </c>
      <c r="F14" s="31">
        <f>IF(E14=" "," ",E14*Koeficienty!$B$25)</f>
        <v>86.39771985942849</v>
      </c>
      <c r="G14" s="32">
        <f t="shared" si="0"/>
        <v>121121.37488864642</v>
      </c>
      <c r="H14" s="31">
        <f t="shared" si="1"/>
        <v>2502.791091165984</v>
      </c>
      <c r="I14" s="31">
        <f>IF(H14=" "," ",H14*Koeficienty!$B$25)</f>
        <v>2627.9306457242833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/>
      <c r="C16" s="9">
        <f>B16*3</f>
        <v>0</v>
      </c>
      <c r="D16" s="9">
        <f>Koeficienty!B10</f>
        <v>0.8</v>
      </c>
      <c r="E16" s="31" t="str">
        <f t="shared" si="2"/>
        <v> </v>
      </c>
      <c r="F16" s="31" t="str">
        <f>IF(E16=" "," ",E16*Koeficienty!$B$25)</f>
        <v> </v>
      </c>
      <c r="G16" s="32" t="str">
        <f t="shared" si="0"/>
        <v> </v>
      </c>
      <c r="H16" s="31" t="str">
        <f t="shared" si="1"/>
        <v> </v>
      </c>
      <c r="I16" s="31" t="str">
        <f>IF(H16=" "," ",H16*Koeficienty!$B$25)</f>
        <v> 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1472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1472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82.28354272326524</v>
      </c>
      <c r="C29" s="34"/>
      <c r="D29" s="34"/>
      <c r="E29" s="24"/>
      <c r="F29" s="24"/>
      <c r="G29" s="32"/>
      <c r="H29" s="35">
        <f>B29*365/12</f>
        <v>2502.791091165984</v>
      </c>
      <c r="I29" s="24"/>
      <c r="J29" s="25"/>
    </row>
    <row r="30" spans="1:10" ht="12.75">
      <c r="A30" s="18" t="s">
        <v>5</v>
      </c>
      <c r="B30" s="36">
        <f>B28*B29</f>
        <v>121121.37488864643</v>
      </c>
      <c r="C30" s="37"/>
      <c r="D30" s="37"/>
      <c r="E30" s="32"/>
      <c r="F30" s="32"/>
      <c r="G30" s="38">
        <f>SUM(G8:G25)</f>
        <v>121121.37488864642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10.1406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7109375" style="0" customWidth="1"/>
    <col min="8" max="8" width="14.00390625" style="0" customWidth="1"/>
    <col min="9" max="9" width="13.00390625" style="0" customWidth="1"/>
    <col min="10" max="10" width="5.28125" style="0" customWidth="1"/>
  </cols>
  <sheetData>
    <row r="1" spans="5:7" ht="12.75" hidden="1">
      <c r="E1" s="2"/>
      <c r="F1" s="2"/>
      <c r="G1" s="2"/>
    </row>
    <row r="2" spans="1:10" ht="51.75" customHeight="1">
      <c r="A2" s="46" t="s">
        <v>44</v>
      </c>
      <c r="B2" s="15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koleje'!P3</f>
        <v>56.04820366246476</v>
      </c>
      <c r="F4" s="23"/>
      <c r="G4" s="9"/>
      <c r="H4" s="24">
        <f>E4*365/12</f>
        <v>1704.7995280666364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/>
      <c r="C12" s="9">
        <f>B12*2</f>
        <v>0</v>
      </c>
      <c r="D12" s="9">
        <f>Koeficienty!B6</f>
        <v>1</v>
      </c>
      <c r="E12" s="44">
        <f>B30/(C8*D8+C9*D9+C10*D10+C11*D11+C12*D12+C13*D13+C14*D14+C15*D15+C16*D16+C17*D17+C18*D18+C19*D19+C20*D20+C21*D21+C22*D22+C23*D23+C24*D24+C25*D25)</f>
        <v>54.87637925444384</v>
      </c>
      <c r="F12" s="44">
        <f>IF(E12=" "," ",E12*Koeficienty!$B$25)</f>
        <v>57.620198217166035</v>
      </c>
      <c r="G12" s="32">
        <f t="shared" si="0"/>
        <v>0</v>
      </c>
      <c r="H12" s="44">
        <f t="shared" si="1"/>
        <v>1669.1565356560002</v>
      </c>
      <c r="I12" s="44">
        <f>IF(H12=" "," ",H12*Koeficienty!$B$25)</f>
        <v>1752.6143624388003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f>434-B15</f>
        <v>434</v>
      </c>
      <c r="C14" s="9">
        <f>B14*2</f>
        <v>868</v>
      </c>
      <c r="D14" s="9">
        <f>Koeficienty!B8</f>
        <v>1.15</v>
      </c>
      <c r="E14" s="31">
        <f t="shared" si="2"/>
        <v>63.10783614261041</v>
      </c>
      <c r="F14" s="31">
        <f>IF(E14=" "," ",E14*Koeficienty!$B$25)</f>
        <v>66.26322794974094</v>
      </c>
      <c r="G14" s="32">
        <f t="shared" si="0"/>
        <v>54777.601771785834</v>
      </c>
      <c r="H14" s="31">
        <f t="shared" si="1"/>
        <v>1919.5300160043998</v>
      </c>
      <c r="I14" s="31">
        <f>IF(H14=" "," ",H14*Koeficienty!$B$25)</f>
        <v>2015.5065168046199</v>
      </c>
      <c r="J14" s="25"/>
    </row>
    <row r="15" spans="1:10" ht="12.75">
      <c r="A15" s="30" t="s">
        <v>83</v>
      </c>
      <c r="B15" s="9">
        <v>0</v>
      </c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/>
      <c r="C16" s="9">
        <f>B16*3</f>
        <v>0</v>
      </c>
      <c r="D16" s="9">
        <f>Koeficienty!B10</f>
        <v>0.8</v>
      </c>
      <c r="E16" s="31" t="str">
        <f t="shared" si="2"/>
        <v> </v>
      </c>
      <c r="F16" s="31" t="str">
        <f>IF(E16=" "," ",E16*Koeficienty!$B$25)</f>
        <v> </v>
      </c>
      <c r="G16" s="32" t="str">
        <f t="shared" si="0"/>
        <v> </v>
      </c>
      <c r="H16" s="31" t="str">
        <f t="shared" si="1"/>
        <v> </v>
      </c>
      <c r="I16" s="31" t="str">
        <f>IF(H16=" "," ",H16*Koeficienty!$B$25)</f>
        <v> 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>
        <v>340</v>
      </c>
      <c r="C18" s="9">
        <f>B18*3</f>
        <v>1020</v>
      </c>
      <c r="D18" s="9">
        <f>Koeficienty!B12</f>
        <v>0.9199999999999999</v>
      </c>
      <c r="E18" s="31">
        <f t="shared" si="2"/>
        <v>50.48626891408833</v>
      </c>
      <c r="F18" s="31">
        <f>IF(E18=" "," ",E18*Koeficienty!$B$25)</f>
        <v>53.01058235979275</v>
      </c>
      <c r="G18" s="32">
        <f t="shared" si="0"/>
        <v>51495.994292370095</v>
      </c>
      <c r="H18" s="31">
        <f t="shared" si="1"/>
        <v>1535.62401280352</v>
      </c>
      <c r="I18" s="31">
        <f>IF(H18=" "," ",H18*Koeficienty!$B$25)</f>
        <v>1612.405213443696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>
        <v>5</v>
      </c>
      <c r="C25" s="9">
        <f>B25*5</f>
        <v>25</v>
      </c>
      <c r="D25" s="9">
        <f>Koeficienty!B19</f>
        <v>0.69</v>
      </c>
      <c r="E25" s="31">
        <f t="shared" si="2"/>
        <v>37.864701685566246</v>
      </c>
      <c r="F25" s="31">
        <f>IF(E25=" "," ",E25*Koeficienty!$B$25)</f>
        <v>39.75793676984456</v>
      </c>
      <c r="G25" s="32">
        <f t="shared" si="0"/>
        <v>946.6175421391562</v>
      </c>
      <c r="H25" s="31">
        <f t="shared" si="1"/>
        <v>1151.71800960264</v>
      </c>
      <c r="I25" s="31">
        <f>IF(H25=" "," ",H25*Koeficienty!$B$25)</f>
        <v>1209.303910082772</v>
      </c>
      <c r="J25" s="25"/>
    </row>
    <row r="26" spans="1:10" ht="12.75">
      <c r="A26" s="30"/>
      <c r="B26" s="9"/>
      <c r="C26" s="9">
        <f>SUM(C8:C25)</f>
        <v>1913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1913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56.04820366246476</v>
      </c>
      <c r="C29" s="34"/>
      <c r="D29" s="34"/>
      <c r="E29" s="24"/>
      <c r="F29" s="24"/>
      <c r="G29" s="32"/>
      <c r="H29" s="35">
        <f>B29*365/12</f>
        <v>1704.7995280666364</v>
      </c>
      <c r="I29" s="24"/>
      <c r="J29" s="25"/>
    </row>
    <row r="30" spans="1:10" ht="12.75">
      <c r="A30" s="18" t="s">
        <v>5</v>
      </c>
      <c r="B30" s="36">
        <f>B28*B29</f>
        <v>107220.21360629509</v>
      </c>
      <c r="C30" s="37"/>
      <c r="D30" s="37"/>
      <c r="E30" s="32"/>
      <c r="F30" s="32"/>
      <c r="G30" s="38">
        <f>SUM(G8:G25)</f>
        <v>107220.21360629507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9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140625" style="0" customWidth="1"/>
    <col min="8" max="8" width="14.00390625" style="0" customWidth="1"/>
    <col min="9" max="9" width="13.00390625" style="0" customWidth="1"/>
    <col min="10" max="10" width="4.2812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43</v>
      </c>
      <c r="B2" s="15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koleje'!Q3</f>
        <v>75.7973270904216</v>
      </c>
      <c r="F4" s="23"/>
      <c r="G4" s="9"/>
      <c r="H4" s="24">
        <f>E4*365/12</f>
        <v>2305.502032333657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>
        <v>18</v>
      </c>
      <c r="C10" s="9">
        <f>B10*1</f>
        <v>18</v>
      </c>
      <c r="D10" s="9">
        <f>Koeficienty!B4</f>
        <v>1.4375</v>
      </c>
      <c r="E10" s="31">
        <f>IF(B10&gt;0,$E$12*D10," ")</f>
        <v>96.5018741095116</v>
      </c>
      <c r="F10" s="31">
        <f>IF(E10=" "," ",E10*Koeficienty!$B$25)</f>
        <v>101.32696781498719</v>
      </c>
      <c r="G10" s="32">
        <f t="shared" si="0"/>
        <v>1737.033733971209</v>
      </c>
      <c r="H10" s="31">
        <f t="shared" si="1"/>
        <v>2935.265337497645</v>
      </c>
      <c r="I10" s="31">
        <f>IF(H10=" "," ",H10*Koeficienty!$B$25)</f>
        <v>3082.0286043725273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f>441-B14</f>
        <v>80</v>
      </c>
      <c r="C12" s="9">
        <f>B12*2</f>
        <v>160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67.1317385109646</v>
      </c>
      <c r="F12" s="31">
        <f>IF(E12=" "," ",E12*Koeficienty!$B$25)</f>
        <v>70.48832543651282</v>
      </c>
      <c r="G12" s="32">
        <f t="shared" si="0"/>
        <v>10741.078161754336</v>
      </c>
      <c r="H12" s="31">
        <f t="shared" si="1"/>
        <v>2041.9237130418398</v>
      </c>
      <c r="I12" s="31">
        <f>IF(H12=" "," ",H12*Koeficienty!$B$25)</f>
        <v>2144.0198986939317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361</v>
      </c>
      <c r="C14" s="9">
        <f>B14*2</f>
        <v>722</v>
      </c>
      <c r="D14" s="9">
        <f>Koeficienty!B8</f>
        <v>1.15</v>
      </c>
      <c r="E14" s="31">
        <f t="shared" si="2"/>
        <v>77.20149928760928</v>
      </c>
      <c r="F14" s="31">
        <f>IF(E14=" "," ",E14*Koeficienty!$B$25)</f>
        <v>81.06157425198975</v>
      </c>
      <c r="G14" s="32">
        <f t="shared" si="0"/>
        <v>55739.4824856539</v>
      </c>
      <c r="H14" s="31">
        <f t="shared" si="1"/>
        <v>2348.2122699981155</v>
      </c>
      <c r="I14" s="31">
        <f>IF(H14=" "," ",H14*Koeficienty!$B$25)</f>
        <v>2465.6228834980216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/>
      <c r="C16" s="9">
        <f>B16*3</f>
        <v>0</v>
      </c>
      <c r="D16" s="9">
        <f>Koeficienty!B10</f>
        <v>0.8</v>
      </c>
      <c r="E16" s="31" t="str">
        <f t="shared" si="2"/>
        <v> </v>
      </c>
      <c r="F16" s="31" t="str">
        <f>IF(E16=" "," ",E16*Koeficienty!$B$25)</f>
        <v> </v>
      </c>
      <c r="G16" s="32" t="str">
        <f t="shared" si="0"/>
        <v> </v>
      </c>
      <c r="H16" s="31" t="str">
        <f t="shared" si="1"/>
        <v> </v>
      </c>
      <c r="I16" s="31" t="str">
        <f>IF(H16=" "," ",H16*Koeficienty!$B$25)</f>
        <v> 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900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900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75.7973270904216</v>
      </c>
      <c r="C29" s="34"/>
      <c r="D29" s="34"/>
      <c r="E29" s="24"/>
      <c r="F29" s="24"/>
      <c r="G29" s="32"/>
      <c r="H29" s="35">
        <f>B29*365/12</f>
        <v>2305.502032333657</v>
      </c>
      <c r="I29" s="24"/>
      <c r="J29" s="25"/>
    </row>
    <row r="30" spans="1:10" ht="12.75">
      <c r="A30" s="18" t="s">
        <v>5</v>
      </c>
      <c r="B30" s="36">
        <f>B28*B29</f>
        <v>68217.59438137944</v>
      </c>
      <c r="C30" s="37"/>
      <c r="D30" s="37"/>
      <c r="E30" s="32"/>
      <c r="F30" s="32"/>
      <c r="G30" s="38">
        <f>SUM(G8:G25)</f>
        <v>68217.59438137944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R3"/>
  <sheetViews>
    <sheetView showZeros="0" workbookViewId="0" topLeftCell="A1">
      <pane xSplit="2" ySplit="2" topLeftCell="C3" activePane="bottomRight" state="frozen"/>
      <selection pane="topLeft" activeCell="L22" sqref="L22"/>
      <selection pane="topRight" activeCell="L22" sqref="L22"/>
      <selection pane="bottomLeft" activeCell="L22" sqref="L22"/>
      <selection pane="bottomRight" activeCell="B2" sqref="B2"/>
    </sheetView>
  </sheetViews>
  <sheetFormatPr defaultColWidth="9.140625" defaultRowHeight="12.75"/>
  <cols>
    <col min="1" max="1" width="2.8515625" style="7" customWidth="1"/>
    <col min="2" max="2" width="38.8515625" style="7" customWidth="1"/>
    <col min="3" max="3" width="7.28125" style="4" customWidth="1"/>
    <col min="4" max="5" width="6.8515625" style="4" customWidth="1"/>
    <col min="6" max="6" width="9.28125" style="4" customWidth="1"/>
    <col min="7" max="16384" width="9.140625" style="4" customWidth="1"/>
  </cols>
  <sheetData>
    <row r="1" spans="2:18" ht="10.5" customHeight="1">
      <c r="B1" s="60" t="s">
        <v>90</v>
      </c>
      <c r="C1" s="74" t="s">
        <v>45</v>
      </c>
      <c r="D1" s="74" t="s">
        <v>46</v>
      </c>
      <c r="E1" s="74" t="s">
        <v>47</v>
      </c>
      <c r="F1" s="76" t="s">
        <v>48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51" customHeight="1">
      <c r="A2" s="58"/>
      <c r="B2" s="61" t="s">
        <v>25</v>
      </c>
      <c r="C2" s="75"/>
      <c r="D2" s="75"/>
      <c r="E2" s="75"/>
      <c r="F2" s="77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67"/>
    </row>
    <row r="3" spans="1:18" ht="20.25" customHeight="1" thickBot="1">
      <c r="A3" s="59"/>
      <c r="B3" s="62" t="s">
        <v>88</v>
      </c>
      <c r="C3" s="63">
        <v>66.02898039499722</v>
      </c>
      <c r="D3" s="63">
        <v>42.72847539975509</v>
      </c>
      <c r="E3" s="63">
        <v>64.26861261219177</v>
      </c>
      <c r="F3" s="63">
        <v>59.11754814241499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</sheetData>
  <mergeCells count="4">
    <mergeCell ref="F1:F2"/>
    <mergeCell ref="C1:C2"/>
    <mergeCell ref="D1:D2"/>
    <mergeCell ref="E1:E2"/>
  </mergeCells>
  <printOptions gridLines="1"/>
  <pageMargins left="1.08" right="0.75" top="1.46" bottom="1" header="0.94" footer="0.4921259845"/>
  <pageSetup horizontalDpi="600" verticalDpi="600" orientation="portrait" paperSize="9" r:id="rId1"/>
  <headerFooter alignWithMargins="0">
    <oddFooter>&amp;C&amp;F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9.281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8515625" style="0" customWidth="1"/>
    <col min="8" max="8" width="14.00390625" style="0" customWidth="1"/>
    <col min="9" max="9" width="13.00390625" style="0" customWidth="1"/>
    <col min="10" max="10" width="5.71093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55</v>
      </c>
      <c r="B2" s="12"/>
      <c r="C2" s="43"/>
      <c r="D2" s="43"/>
      <c r="E2" s="14" t="s">
        <v>73</v>
      </c>
      <c r="F2" s="14"/>
      <c r="G2" s="15"/>
      <c r="H2" s="14" t="s">
        <v>74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'Plzeňské koleje'!C3</f>
        <v>66.02898039499722</v>
      </c>
      <c r="F4" s="23"/>
      <c r="G4" s="9"/>
      <c r="H4" s="24">
        <f>E4*365/12</f>
        <v>2008.3814870144988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v>2</v>
      </c>
      <c r="C12" s="9">
        <f>B12*2</f>
        <v>4</v>
      </c>
      <c r="D12" s="9">
        <f>Koeficienty!B6</f>
        <v>1</v>
      </c>
      <c r="E12" s="44">
        <f>B30/(C8*D8+C9*D9+C10*D10+C11*D11+C12*D12+C13*D13+C14*D14+C15*D15+C16*D16+C17*D17+C18*D18+C19*D19+C20*D20+C21*D21+C22*D22+C23*D23+C24*D24+C25*D25)</f>
        <v>59.9095346322889</v>
      </c>
      <c r="F12" s="44">
        <f>IF(E12=" "," ",E12*Koeficienty!$B$25)</f>
        <v>62.90501136390335</v>
      </c>
      <c r="G12" s="32">
        <f t="shared" si="0"/>
        <v>239.6381385291556</v>
      </c>
      <c r="H12" s="44">
        <f t="shared" si="1"/>
        <v>1822.2483450654543</v>
      </c>
      <c r="I12" s="44">
        <f>IF(H12=" "," ",H12*Koeficienty!$B$25)</f>
        <v>1913.360762318727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165</v>
      </c>
      <c r="C14" s="9">
        <f>B14*2</f>
        <v>330</v>
      </c>
      <c r="D14" s="9">
        <f>Koeficienty!B8</f>
        <v>1.15</v>
      </c>
      <c r="E14" s="31">
        <f t="shared" si="2"/>
        <v>68.89596482713223</v>
      </c>
      <c r="F14" s="31">
        <f>IF(E14=" "," ",E14*Koeficienty!$B$25)</f>
        <v>72.34076306848884</v>
      </c>
      <c r="G14" s="32">
        <f t="shared" si="0"/>
        <v>22735.668392953638</v>
      </c>
      <c r="H14" s="31">
        <f t="shared" si="1"/>
        <v>2095.585596825272</v>
      </c>
      <c r="I14" s="31">
        <f>IF(H14=" "," ",H14*Koeficienty!$B$25)</f>
        <v>2200.364876666536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>
        <v>1</v>
      </c>
      <c r="C16" s="9">
        <f>B16*3</f>
        <v>3</v>
      </c>
      <c r="D16" s="9">
        <f>Koeficienty!B10</f>
        <v>0.8</v>
      </c>
      <c r="E16" s="31">
        <f t="shared" si="2"/>
        <v>47.92762770583113</v>
      </c>
      <c r="F16" s="31">
        <f>IF(E16=" "," ",E16*Koeficienty!$B$25)</f>
        <v>50.32400909112268</v>
      </c>
      <c r="G16" s="32">
        <f t="shared" si="0"/>
        <v>143.78288311749338</v>
      </c>
      <c r="H16" s="31">
        <f t="shared" si="1"/>
        <v>1457.7986760523636</v>
      </c>
      <c r="I16" s="31">
        <f>IF(H16=" "," ",H16*Koeficienty!$B$25)</f>
        <v>1530.688609854982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>
        <v>9</v>
      </c>
      <c r="C20" s="9">
        <f>B20*4</f>
        <v>36</v>
      </c>
      <c r="D20" s="9">
        <f>Koeficienty!B14</f>
        <v>0.7</v>
      </c>
      <c r="E20" s="31">
        <f t="shared" si="2"/>
        <v>41.93667424260223</v>
      </c>
      <c r="F20" s="31">
        <f>IF(E20=" "," ",E20*Koeficienty!$B$25)</f>
        <v>44.03350795473234</v>
      </c>
      <c r="G20" s="32">
        <f t="shared" si="0"/>
        <v>1509.7202727336803</v>
      </c>
      <c r="H20" s="31">
        <f t="shared" si="1"/>
        <v>1275.573841545818</v>
      </c>
      <c r="I20" s="31">
        <f>IF(H20=" "," ",H20*Koeficienty!$B$25)</f>
        <v>1339.352533623109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373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373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66.02898039499722</v>
      </c>
      <c r="C29" s="34"/>
      <c r="D29" s="34"/>
      <c r="E29" s="24"/>
      <c r="F29" s="24"/>
      <c r="G29" s="32"/>
      <c r="H29" s="35">
        <f>B29*365/12</f>
        <v>2008.3814870144988</v>
      </c>
      <c r="I29" s="24"/>
      <c r="J29" s="25"/>
    </row>
    <row r="30" spans="1:10" ht="12.75">
      <c r="A30" s="18" t="s">
        <v>5</v>
      </c>
      <c r="B30" s="36">
        <f>B28*B29</f>
        <v>24628.809687333964</v>
      </c>
      <c r="C30" s="37"/>
      <c r="D30" s="37"/>
      <c r="E30" s="32"/>
      <c r="F30" s="32"/>
      <c r="G30" s="38">
        <f>SUM(G8:G25)</f>
        <v>24628.809687333967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3"/>
  <sheetViews>
    <sheetView showZeros="0" workbookViewId="0" topLeftCell="A1">
      <pane xSplit="2" ySplit="2" topLeftCell="C3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B15" sqref="B15"/>
    </sheetView>
  </sheetViews>
  <sheetFormatPr defaultColWidth="9.140625" defaultRowHeight="12.75"/>
  <cols>
    <col min="1" max="1" width="3.57421875" style="7" customWidth="1"/>
    <col min="2" max="2" width="38.28125" style="7" customWidth="1"/>
    <col min="3" max="3" width="7.28125" style="4" customWidth="1"/>
    <col min="4" max="17" width="7.421875" style="4" customWidth="1"/>
    <col min="18" max="18" width="8.57421875" style="4" customWidth="1"/>
    <col min="19" max="16384" width="9.140625" style="4" customWidth="1"/>
  </cols>
  <sheetData>
    <row r="1" spans="1:18" ht="10.5" customHeight="1">
      <c r="A1" s="3"/>
      <c r="B1" s="60" t="s">
        <v>91</v>
      </c>
      <c r="C1" s="74" t="s">
        <v>9</v>
      </c>
      <c r="D1" s="74" t="s">
        <v>10</v>
      </c>
      <c r="E1" s="74" t="s">
        <v>11</v>
      </c>
      <c r="F1" s="70" t="s">
        <v>12</v>
      </c>
      <c r="G1" s="70" t="s">
        <v>13</v>
      </c>
      <c r="H1" s="74" t="s">
        <v>14</v>
      </c>
      <c r="I1" s="74" t="s">
        <v>15</v>
      </c>
      <c r="J1" s="70" t="s">
        <v>16</v>
      </c>
      <c r="K1" s="70" t="s">
        <v>17</v>
      </c>
      <c r="L1" s="74" t="s">
        <v>18</v>
      </c>
      <c r="M1" s="74" t="s">
        <v>19</v>
      </c>
      <c r="N1" s="74" t="s">
        <v>20</v>
      </c>
      <c r="O1" s="74" t="s">
        <v>21</v>
      </c>
      <c r="P1" s="70" t="s">
        <v>22</v>
      </c>
      <c r="Q1" s="74" t="s">
        <v>23</v>
      </c>
      <c r="R1" s="72" t="s">
        <v>24</v>
      </c>
    </row>
    <row r="2" spans="1:18" ht="51.75" customHeight="1">
      <c r="A2" s="5"/>
      <c r="B2" s="61" t="s">
        <v>25</v>
      </c>
      <c r="C2" s="75"/>
      <c r="D2" s="75"/>
      <c r="E2" s="75"/>
      <c r="F2" s="71"/>
      <c r="G2" s="71"/>
      <c r="H2" s="75"/>
      <c r="I2" s="75"/>
      <c r="J2" s="71"/>
      <c r="K2" s="71"/>
      <c r="L2" s="75"/>
      <c r="M2" s="75"/>
      <c r="N2" s="75"/>
      <c r="O2" s="75"/>
      <c r="P2" s="71"/>
      <c r="Q2" s="75"/>
      <c r="R2" s="73"/>
    </row>
    <row r="3" spans="1:18" ht="20.25" customHeight="1" thickBot="1">
      <c r="A3" s="6"/>
      <c r="B3" s="62" t="s">
        <v>88</v>
      </c>
      <c r="C3" s="63">
        <v>79.89195138233532</v>
      </c>
      <c r="D3" s="63">
        <v>135.43326051094957</v>
      </c>
      <c r="E3" s="63">
        <v>89.27544759171177</v>
      </c>
      <c r="F3" s="63">
        <v>76.06305462838733</v>
      </c>
      <c r="G3" s="63">
        <v>55.05116173287166</v>
      </c>
      <c r="H3" s="63">
        <v>59.548750978370876</v>
      </c>
      <c r="I3" s="63">
        <v>59.03020962787382</v>
      </c>
      <c r="J3" s="63">
        <v>72.17049761365932</v>
      </c>
      <c r="K3" s="63">
        <v>129.27634066248012</v>
      </c>
      <c r="L3" s="63">
        <v>92.33220725838952</v>
      </c>
      <c r="M3" s="63">
        <v>64.42542742527606</v>
      </c>
      <c r="N3" s="63">
        <v>78.68303633015215</v>
      </c>
      <c r="O3" s="63">
        <v>82.28354272326524</v>
      </c>
      <c r="P3" s="63">
        <v>56.04820366246476</v>
      </c>
      <c r="Q3" s="63">
        <v>75.7973270904216</v>
      </c>
      <c r="R3" s="64">
        <v>65.62905058833375</v>
      </c>
    </row>
  </sheetData>
  <mergeCells count="16">
    <mergeCell ref="C1:C2"/>
    <mergeCell ref="D1:D2"/>
    <mergeCell ref="E1:E2"/>
    <mergeCell ref="H1:H2"/>
    <mergeCell ref="G1:G2"/>
    <mergeCell ref="F1:F2"/>
    <mergeCell ref="P1:P2"/>
    <mergeCell ref="K1:K2"/>
    <mergeCell ref="R1:R2"/>
    <mergeCell ref="I1:I2"/>
    <mergeCell ref="J1:J2"/>
    <mergeCell ref="M1:M2"/>
    <mergeCell ref="Q1:Q2"/>
    <mergeCell ref="O1:O2"/>
    <mergeCell ref="L1:L2"/>
    <mergeCell ref="N1:N2"/>
  </mergeCells>
  <printOptions gridLines="1"/>
  <pageMargins left="0.91" right="0.22" top="0.99" bottom="0.73" header="0.7" footer="0.4"/>
  <pageSetup horizontalDpi="600" verticalDpi="600" orientation="landscape" paperSize="9" scale="78" r:id="rId1"/>
  <headerFooter alignWithMargins="0"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12" sqref="E12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  <col min="10" max="10" width="6.4218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56</v>
      </c>
      <c r="B2" s="12"/>
      <c r="C2" s="43"/>
      <c r="D2" s="43"/>
      <c r="E2" s="14" t="s">
        <v>73</v>
      </c>
      <c r="F2" s="14"/>
      <c r="G2" s="15"/>
      <c r="H2" s="14" t="s">
        <v>74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'Plzeňské koleje'!D3</f>
        <v>42.72847539975509</v>
      </c>
      <c r="F4" s="23"/>
      <c r="G4" s="9"/>
      <c r="H4" s="24">
        <f>E4*365/12</f>
        <v>1299.6577934092172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/>
      <c r="C12" s="9">
        <f>B12*2</f>
        <v>0</v>
      </c>
      <c r="D12" s="9">
        <f>Koeficienty!B6</f>
        <v>1</v>
      </c>
      <c r="E12" s="44">
        <f>B30/(C8*D8+C9*D9+C10*D10+C11*D11+C12*D12+C13*D13+C14*D14+C15*D15+C16*D16+C17*D17+C18*D18+C19*D19+C20*D20+C21*D21+C22*D22+C23*D23+C24*D24+C25*D25)</f>
        <v>41.53867417953719</v>
      </c>
      <c r="F12" s="44">
        <f>IF(E12=" "," ",E12*Koeficienty!$B$25)</f>
        <v>43.61560788851405</v>
      </c>
      <c r="G12" s="32">
        <f t="shared" si="0"/>
        <v>0</v>
      </c>
      <c r="H12" s="44">
        <f t="shared" si="1"/>
        <v>1263.4680062942562</v>
      </c>
      <c r="I12" s="44">
        <f>IF(H12=" "," ",H12*Koeficienty!$B$25)</f>
        <v>1326.641406608969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47</v>
      </c>
      <c r="C14" s="9">
        <f>B14*2</f>
        <v>94</v>
      </c>
      <c r="D14" s="9">
        <f>Koeficienty!B8</f>
        <v>1.15</v>
      </c>
      <c r="E14" s="31">
        <f t="shared" si="2"/>
        <v>47.76947530646776</v>
      </c>
      <c r="F14" s="31">
        <f>IF(E14=" "," ",E14*Koeficienty!$B$25)</f>
        <v>50.15794907179115</v>
      </c>
      <c r="G14" s="32">
        <f t="shared" si="0"/>
        <v>4490.33067880797</v>
      </c>
      <c r="H14" s="31">
        <f t="shared" si="1"/>
        <v>1452.9882072383944</v>
      </c>
      <c r="I14" s="31">
        <f>IF(H14=" "," ",H14*Koeficienty!$B$25)</f>
        <v>1525.6376176003141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/>
      <c r="C16" s="9">
        <f>B16*3</f>
        <v>0</v>
      </c>
      <c r="D16" s="9">
        <f>Koeficienty!B10</f>
        <v>0.8</v>
      </c>
      <c r="E16" s="31" t="str">
        <f t="shared" si="2"/>
        <v> </v>
      </c>
      <c r="F16" s="31" t="str">
        <f>IF(E16=" "," ",E16*Koeficienty!$B$25)</f>
        <v> </v>
      </c>
      <c r="G16" s="32" t="str">
        <f t="shared" si="0"/>
        <v> </v>
      </c>
      <c r="H16" s="31" t="str">
        <f t="shared" si="1"/>
        <v> </v>
      </c>
      <c r="I16" s="31" t="str">
        <f>IF(H16=" "," ",H16*Koeficienty!$B$25)</f>
        <v> 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>
        <v>35</v>
      </c>
      <c r="C18" s="9">
        <f>B18*3</f>
        <v>105</v>
      </c>
      <c r="D18" s="9">
        <f>Koeficienty!B12</f>
        <v>0.9199999999999999</v>
      </c>
      <c r="E18" s="31">
        <f t="shared" si="2"/>
        <v>38.21558024517421</v>
      </c>
      <c r="F18" s="31">
        <f>IF(E18=" "," ",E18*Koeficienty!$B$25)</f>
        <v>40.126359257432924</v>
      </c>
      <c r="G18" s="32">
        <f t="shared" si="0"/>
        <v>4012.635925743292</v>
      </c>
      <c r="H18" s="31">
        <f t="shared" si="1"/>
        <v>1162.3905657907155</v>
      </c>
      <c r="I18" s="31">
        <f>IF(H18=" "," ",H18*Koeficienty!$B$25)</f>
        <v>1220.5100940802513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199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199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42.72847539975509</v>
      </c>
      <c r="C29" s="34"/>
      <c r="D29" s="34"/>
      <c r="E29" s="24"/>
      <c r="F29" s="24"/>
      <c r="G29" s="32"/>
      <c r="H29" s="35">
        <f>B29*365/12</f>
        <v>1299.6577934092172</v>
      </c>
      <c r="I29" s="24"/>
      <c r="J29" s="25"/>
    </row>
    <row r="30" spans="1:10" ht="12.75">
      <c r="A30" s="18" t="s">
        <v>5</v>
      </c>
      <c r="B30" s="36">
        <f>B28*B29</f>
        <v>8502.966604551262</v>
      </c>
      <c r="C30" s="37"/>
      <c r="D30" s="37"/>
      <c r="E30" s="32"/>
      <c r="F30" s="32"/>
      <c r="G30" s="38">
        <f>SUM(G8:G25)</f>
        <v>8502.966604551262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  <col min="10" max="10" width="6.0039062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57</v>
      </c>
      <c r="B2" s="12"/>
      <c r="C2" s="12"/>
      <c r="D2" s="43"/>
      <c r="E2" s="14" t="s">
        <v>73</v>
      </c>
      <c r="F2" s="14"/>
      <c r="G2" s="15"/>
      <c r="H2" s="14" t="s">
        <v>74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'Plzeňské koleje'!E3</f>
        <v>64.26861261219177</v>
      </c>
      <c r="F4" s="23"/>
      <c r="G4" s="9"/>
      <c r="H4" s="24">
        <f>E4*365/12</f>
        <v>1954.8369669541664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f>60-B14</f>
        <v>54</v>
      </c>
      <c r="C12" s="9">
        <f>B12*2</f>
        <v>108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64.56207659672232</v>
      </c>
      <c r="F12" s="31">
        <f>IF(E12=" "," ",E12*Koeficienty!$B$25)</f>
        <v>67.79018042655844</v>
      </c>
      <c r="G12" s="32">
        <f t="shared" si="0"/>
        <v>6972.704272446011</v>
      </c>
      <c r="H12" s="31">
        <f t="shared" si="1"/>
        <v>1963.7631631503039</v>
      </c>
      <c r="I12" s="31">
        <f>IF(H12=" "," ",H12*Koeficienty!$B$25)</f>
        <v>2061.951321307819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6</v>
      </c>
      <c r="C14" s="9">
        <f>B14*2</f>
        <v>12</v>
      </c>
      <c r="D14" s="9">
        <f>Koeficienty!B8</f>
        <v>1.15</v>
      </c>
      <c r="E14" s="31">
        <f t="shared" si="2"/>
        <v>74.24638808623067</v>
      </c>
      <c r="F14" s="31">
        <f>IF(E14=" "," ",E14*Koeficienty!$B$25)</f>
        <v>77.95870749054221</v>
      </c>
      <c r="G14" s="32">
        <f t="shared" si="0"/>
        <v>890.956657034768</v>
      </c>
      <c r="H14" s="31">
        <f t="shared" si="1"/>
        <v>2258.3276376228496</v>
      </c>
      <c r="I14" s="31">
        <f>IF(H14=" "," ",H14*Koeficienty!$B$25)</f>
        <v>2371.244019503992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>
        <v>4</v>
      </c>
      <c r="C16" s="9">
        <f>B16*3</f>
        <v>12</v>
      </c>
      <c r="D16" s="9">
        <f>Koeficienty!B10</f>
        <v>0.8</v>
      </c>
      <c r="E16" s="31">
        <f t="shared" si="2"/>
        <v>51.64966127737786</v>
      </c>
      <c r="F16" s="31">
        <f>IF(E16=" "," ",E16*Koeficienty!$B$25)</f>
        <v>54.23214434124675</v>
      </c>
      <c r="G16" s="32">
        <f t="shared" si="0"/>
        <v>619.7959353285344</v>
      </c>
      <c r="H16" s="31">
        <f t="shared" si="1"/>
        <v>1571.0105305202433</v>
      </c>
      <c r="I16" s="31">
        <f>IF(H16=" "," ",H16*Koeficienty!$B$25)</f>
        <v>1649.5610570462554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132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132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64.26861261219177</v>
      </c>
      <c r="C29" s="34"/>
      <c r="D29" s="34"/>
      <c r="E29" s="24"/>
      <c r="F29" s="24"/>
      <c r="G29" s="32"/>
      <c r="H29" s="35">
        <f>B29*365/12</f>
        <v>1954.8369669541664</v>
      </c>
      <c r="I29" s="24"/>
      <c r="J29" s="25"/>
    </row>
    <row r="30" spans="1:10" ht="12.75">
      <c r="A30" s="18" t="s">
        <v>5</v>
      </c>
      <c r="B30" s="36">
        <f>B28*B29</f>
        <v>8483.456864809314</v>
      </c>
      <c r="C30" s="37"/>
      <c r="D30" s="37"/>
      <c r="E30" s="32"/>
      <c r="F30" s="32"/>
      <c r="G30" s="38">
        <f>SUM(G8:G25)</f>
        <v>8483.456864809314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R3"/>
  <sheetViews>
    <sheetView showZeros="0" workbookViewId="0" topLeftCell="A1">
      <pane xSplit="2" ySplit="2" topLeftCell="C3" activePane="bottomRight" state="frozen"/>
      <selection pane="topLeft" activeCell="L22" sqref="L22"/>
      <selection pane="topRight" activeCell="L22" sqref="L22"/>
      <selection pane="bottomLeft" activeCell="L22" sqref="L22"/>
      <selection pane="bottomRight" activeCell="B2" sqref="B2"/>
    </sheetView>
  </sheetViews>
  <sheetFormatPr defaultColWidth="9.140625" defaultRowHeight="12.75"/>
  <cols>
    <col min="1" max="1" width="2.8515625" style="7" customWidth="1"/>
    <col min="2" max="2" width="40.28125" style="7" customWidth="1"/>
    <col min="3" max="3" width="7.28125" style="4" customWidth="1"/>
    <col min="4" max="5" width="6.8515625" style="4" customWidth="1"/>
    <col min="6" max="6" width="9.57421875" style="4" customWidth="1"/>
    <col min="7" max="7" width="7.140625" style="4" customWidth="1"/>
    <col min="8" max="16384" width="9.140625" style="4" customWidth="1"/>
  </cols>
  <sheetData>
    <row r="1" spans="2:18" ht="10.5" customHeight="1">
      <c r="B1" s="60" t="s">
        <v>89</v>
      </c>
      <c r="C1" s="74" t="s">
        <v>49</v>
      </c>
      <c r="D1" s="74" t="s">
        <v>50</v>
      </c>
      <c r="E1" s="74" t="s">
        <v>51</v>
      </c>
      <c r="F1" s="76" t="s">
        <v>52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41.25" customHeight="1">
      <c r="A2" s="58"/>
      <c r="B2" s="61" t="s">
        <v>25</v>
      </c>
      <c r="C2" s="75"/>
      <c r="D2" s="75"/>
      <c r="E2" s="75"/>
      <c r="F2" s="77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67"/>
    </row>
    <row r="3" spans="1:18" ht="20.25" customHeight="1" thickBot="1">
      <c r="A3" s="59"/>
      <c r="B3" s="62" t="s">
        <v>88</v>
      </c>
      <c r="C3" s="63">
        <v>60.3389591106485</v>
      </c>
      <c r="D3" s="63">
        <v>83.36252934120974</v>
      </c>
      <c r="E3" s="63">
        <v>136.86759265260497</v>
      </c>
      <c r="F3" s="63">
        <v>66.57427367626904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</sheetData>
  <mergeCells count="4">
    <mergeCell ref="F1:F2"/>
    <mergeCell ref="C1:C2"/>
    <mergeCell ref="D1:D2"/>
    <mergeCell ref="E1:E2"/>
  </mergeCells>
  <printOptions gridLines="1"/>
  <pageMargins left="1.08" right="0.75" top="1.46" bottom="1" header="0.94" footer="0.4921259845"/>
  <pageSetup horizontalDpi="600" verticalDpi="600" orientation="portrait" paperSize="9" r:id="rId1"/>
  <headerFooter alignWithMargins="0">
    <oddFooter>&amp;C&amp;F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9.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8515625" style="0" customWidth="1"/>
    <col min="8" max="8" width="14.00390625" style="0" customWidth="1"/>
    <col min="9" max="9" width="13.00390625" style="0" customWidth="1"/>
    <col min="10" max="10" width="5.71093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54</v>
      </c>
      <c r="B2" s="15"/>
      <c r="C2" s="43"/>
      <c r="D2" s="43"/>
      <c r="E2" s="47" t="s">
        <v>71</v>
      </c>
      <c r="F2" s="14"/>
      <c r="G2" s="15"/>
      <c r="H2" s="47" t="s">
        <v>72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'Hradecké koleje'!C3</f>
        <v>60.3389591106485</v>
      </c>
      <c r="F4" s="23"/>
      <c r="G4" s="9"/>
      <c r="H4" s="24">
        <f>E4*365/12</f>
        <v>1835.3100062822252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>
        <v>12</v>
      </c>
      <c r="C10" s="9">
        <f>B10*1</f>
        <v>12</v>
      </c>
      <c r="D10" s="9">
        <f>Koeficienty!B4</f>
        <v>1.4375</v>
      </c>
      <c r="E10" s="31">
        <f>IF(B10&gt;0,$E$12*D10," ")</f>
        <v>87.22403936264716</v>
      </c>
      <c r="F10" s="31">
        <f>IF(E10=" "," ",E10*Koeficienty!$B$25)</f>
        <v>91.58524133077952</v>
      </c>
      <c r="G10" s="32">
        <f t="shared" si="0"/>
        <v>1046.688472351766</v>
      </c>
      <c r="H10" s="31">
        <f t="shared" si="1"/>
        <v>2653.0645306138513</v>
      </c>
      <c r="I10" s="31">
        <f>IF(H10=" "," ",H10*Koeficienty!$B$25)</f>
        <v>2785.717757144544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v>601</v>
      </c>
      <c r="C12" s="9">
        <f>B12*2</f>
        <v>1202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60.67759260010237</v>
      </c>
      <c r="F12" s="31">
        <f>IF(E12=" "," ",E12*Koeficienty!$B$25)</f>
        <v>63.711472230107496</v>
      </c>
      <c r="G12" s="32">
        <f t="shared" si="0"/>
        <v>72934.46630532305</v>
      </c>
      <c r="H12" s="31">
        <f t="shared" si="1"/>
        <v>1845.6101082531138</v>
      </c>
      <c r="I12" s="31">
        <f>IF(H12=" "," ",H12*Koeficienty!$B$25)</f>
        <v>1937.8906136657697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20</v>
      </c>
      <c r="C14" s="9">
        <f>B14*2</f>
        <v>40</v>
      </c>
      <c r="D14" s="9">
        <f>Koeficienty!B8</f>
        <v>1.15</v>
      </c>
      <c r="E14" s="31">
        <f t="shared" si="2"/>
        <v>69.77923149011772</v>
      </c>
      <c r="F14" s="31">
        <f>IF(E14=" "," ",E14*Koeficienty!$B$25)</f>
        <v>73.26819306462362</v>
      </c>
      <c r="G14" s="32">
        <f t="shared" si="0"/>
        <v>2791.1692596047087</v>
      </c>
      <c r="H14" s="31">
        <f t="shared" si="1"/>
        <v>2122.4516244910806</v>
      </c>
      <c r="I14" s="31">
        <f>IF(H14=" "," ",H14*Koeficienty!$B$25)</f>
        <v>2228.574205715635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>
        <v>1</v>
      </c>
      <c r="C16" s="9">
        <f>B16*3</f>
        <v>3</v>
      </c>
      <c r="D16" s="9">
        <f>Koeficienty!B10</f>
        <v>0.8</v>
      </c>
      <c r="E16" s="31">
        <f t="shared" si="2"/>
        <v>48.5420740800819</v>
      </c>
      <c r="F16" s="31">
        <f>IF(E16=" "," ",E16*Koeficienty!$B$25)</f>
        <v>50.969177784086</v>
      </c>
      <c r="G16" s="32">
        <f t="shared" si="0"/>
        <v>145.6262222402457</v>
      </c>
      <c r="H16" s="31">
        <f t="shared" si="1"/>
        <v>1476.4880866024912</v>
      </c>
      <c r="I16" s="31">
        <f>IF(H16=" "," ",H16*Koeficienty!$B$25)</f>
        <v>1550.312490932616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>
        <v>15</v>
      </c>
      <c r="C20" s="9">
        <f>B20*4</f>
        <v>60</v>
      </c>
      <c r="D20" s="9">
        <f>Koeficienty!B14</f>
        <v>0.7</v>
      </c>
      <c r="E20" s="31">
        <f t="shared" si="2"/>
        <v>42.474314820071655</v>
      </c>
      <c r="F20" s="31">
        <f>IF(E20=" "," ",E20*Koeficienty!$B$25)</f>
        <v>44.59803056107524</v>
      </c>
      <c r="G20" s="32">
        <f t="shared" si="0"/>
        <v>2548.4588892042993</v>
      </c>
      <c r="H20" s="31">
        <f t="shared" si="1"/>
        <v>1291.9270757771794</v>
      </c>
      <c r="I20" s="31">
        <f>IF(H20=" "," ",H20*Koeficienty!$B$25)</f>
        <v>1356.5234295660384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1317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1317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60.3389591106485</v>
      </c>
      <c r="C29" s="34"/>
      <c r="D29" s="34"/>
      <c r="E29" s="24"/>
      <c r="F29" s="24"/>
      <c r="G29" s="32"/>
      <c r="H29" s="35">
        <f>B29*365/12</f>
        <v>1835.3100062822252</v>
      </c>
      <c r="I29" s="24"/>
      <c r="J29" s="25"/>
    </row>
    <row r="30" spans="1:10" ht="12.75">
      <c r="A30" s="18" t="s">
        <v>5</v>
      </c>
      <c r="B30" s="36">
        <f>B28*B29</f>
        <v>79466.40914872408</v>
      </c>
      <c r="C30" s="37"/>
      <c r="D30" s="37"/>
      <c r="E30" s="32"/>
      <c r="F30" s="32"/>
      <c r="G30" s="38">
        <f>SUM(G8:G25)</f>
        <v>79466.40914872407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9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00390625" style="0" customWidth="1"/>
    <col min="8" max="8" width="14.00390625" style="0" customWidth="1"/>
    <col min="9" max="9" width="13.00390625" style="0" customWidth="1"/>
    <col min="10" max="10" width="4.851562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53</v>
      </c>
      <c r="B2" s="12"/>
      <c r="C2" s="43"/>
      <c r="D2" s="43"/>
      <c r="E2" s="47" t="s">
        <v>71</v>
      </c>
      <c r="F2" s="14"/>
      <c r="G2" s="15"/>
      <c r="H2" s="47" t="s">
        <v>72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'Hradecké koleje'!D3</f>
        <v>83.36252934120974</v>
      </c>
      <c r="F4" s="23"/>
      <c r="G4" s="9"/>
      <c r="H4" s="24">
        <f>E4*365/12</f>
        <v>2535.6102674617964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/>
      <c r="C12" s="9">
        <f>B12*2</f>
        <v>0</v>
      </c>
      <c r="D12" s="9">
        <f>Koeficienty!B6</f>
        <v>1</v>
      </c>
      <c r="E12" s="44">
        <f>B30/(C8*D8+C9*D9+C10*D10+C11*D11+C12*D12+C13*D13+C14*D14+C15*D15+C16*D16+C17*D17+C18*D18+C19*D19+C20*D20+C21*D21+C22*D22+C23*D23+C24*D24+C25*D25)</f>
        <v>82.37404085099776</v>
      </c>
      <c r="F12" s="44">
        <f>IF(E12=" "," ",E12*Koeficienty!$B$25)</f>
        <v>86.49274289354766</v>
      </c>
      <c r="G12" s="32">
        <f t="shared" si="0"/>
        <v>0</v>
      </c>
      <c r="H12" s="44">
        <f t="shared" si="1"/>
        <v>2505.543742551182</v>
      </c>
      <c r="I12" s="44">
        <f>IF(H12=" "," ",H12*Koeficienty!$B$25)</f>
        <v>2630.820929678741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46</v>
      </c>
      <c r="C14" s="9">
        <f>B14*2</f>
        <v>92</v>
      </c>
      <c r="D14" s="9">
        <f>Koeficienty!B8</f>
        <v>1.15</v>
      </c>
      <c r="E14" s="31">
        <f t="shared" si="2"/>
        <v>94.73014697864741</v>
      </c>
      <c r="F14" s="31">
        <f>IF(E14=" "," ",E14*Koeficienty!$B$25)</f>
        <v>99.46665432757979</v>
      </c>
      <c r="G14" s="32">
        <f t="shared" si="0"/>
        <v>8715.173522035562</v>
      </c>
      <c r="H14" s="31">
        <f t="shared" si="1"/>
        <v>2881.375303933859</v>
      </c>
      <c r="I14" s="31">
        <f>IF(H14=" "," ",H14*Koeficienty!$B$25)</f>
        <v>3025.444069130552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/>
      <c r="C16" s="9">
        <f>B16*3</f>
        <v>0</v>
      </c>
      <c r="D16" s="9">
        <f>Koeficienty!B10</f>
        <v>0.8</v>
      </c>
      <c r="E16" s="31" t="str">
        <f t="shared" si="2"/>
        <v> </v>
      </c>
      <c r="F16" s="31" t="str">
        <f>IF(E16=" "," ",E16*Koeficienty!$B$25)</f>
        <v> </v>
      </c>
      <c r="G16" s="32" t="str">
        <f t="shared" si="0"/>
        <v> </v>
      </c>
      <c r="H16" s="31" t="str">
        <f t="shared" si="1"/>
        <v> </v>
      </c>
      <c r="I16" s="31" t="str">
        <f>IF(H16=" "," ",H16*Koeficienty!$B$25)</f>
        <v> 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>
        <v>46</v>
      </c>
      <c r="C18" s="9">
        <f>B18*3</f>
        <v>138</v>
      </c>
      <c r="D18" s="9">
        <f>Koeficienty!B12</f>
        <v>0.9199999999999999</v>
      </c>
      <c r="E18" s="31">
        <f t="shared" si="2"/>
        <v>75.78411758291793</v>
      </c>
      <c r="F18" s="31">
        <f>IF(E18=" "," ",E18*Koeficienty!$B$25)</f>
        <v>79.57332346206383</v>
      </c>
      <c r="G18" s="32">
        <f t="shared" si="0"/>
        <v>10458.208226442674</v>
      </c>
      <c r="H18" s="31">
        <f t="shared" si="1"/>
        <v>2305.100243147087</v>
      </c>
      <c r="I18" s="31">
        <f>IF(H18=" "," ",H18*Koeficienty!$B$25)</f>
        <v>2420.3552553044415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230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230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83.36252934120974</v>
      </c>
      <c r="C29" s="34"/>
      <c r="D29" s="34"/>
      <c r="E29" s="24"/>
      <c r="F29" s="24"/>
      <c r="G29" s="32"/>
      <c r="H29" s="35">
        <f>B29*365/12</f>
        <v>2535.6102674617964</v>
      </c>
      <c r="I29" s="24"/>
      <c r="J29" s="25"/>
    </row>
    <row r="30" spans="1:10" ht="12.75">
      <c r="A30" s="18" t="s">
        <v>5</v>
      </c>
      <c r="B30" s="36">
        <f>B28*B29</f>
        <v>19173.381748478238</v>
      </c>
      <c r="C30" s="37"/>
      <c r="D30" s="37"/>
      <c r="E30" s="32"/>
      <c r="F30" s="32"/>
      <c r="G30" s="38">
        <f>SUM(G8:G25)</f>
        <v>19173.381748478234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A2" sqref="A2"/>
    </sheetView>
  </sheetViews>
  <sheetFormatPr defaultColWidth="9.140625" defaultRowHeight="12.75"/>
  <cols>
    <col min="1" max="1" width="33.57421875" style="0" customWidth="1"/>
    <col min="2" max="2" width="9.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140625" style="0" customWidth="1"/>
    <col min="8" max="8" width="14.421875" style="0" customWidth="1"/>
    <col min="9" max="9" width="13.00390625" style="0" customWidth="1"/>
    <col min="10" max="10" width="5.4218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1</v>
      </c>
      <c r="B2" s="15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koleje'!C3</f>
        <v>79.89195138233532</v>
      </c>
      <c r="F4" s="23"/>
      <c r="G4" s="9"/>
      <c r="H4" s="24">
        <f>E4*365/12</f>
        <v>2430.0468545460326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>
        <v>5</v>
      </c>
      <c r="C8" s="9">
        <f>B8*1</f>
        <v>5</v>
      </c>
      <c r="D8" s="9">
        <f>Koeficienty!B2</f>
        <v>1.25</v>
      </c>
      <c r="E8" s="31">
        <f aca="true" t="shared" si="0" ref="E8:E25">IF(B8&gt;0,$E$12*D8," ")</f>
        <v>126.60296669233873</v>
      </c>
      <c r="F8" s="31">
        <f>IF(E8=" "," ",E8*Koeficienty!$B$25)</f>
        <v>132.93311502695568</v>
      </c>
      <c r="G8" s="32">
        <f>IF(E8=" "," ",E8*C8)</f>
        <v>633.0148334616936</v>
      </c>
      <c r="H8" s="31">
        <f>IF(E8=" "," ",E8*365/12)</f>
        <v>3850.840236891969</v>
      </c>
      <c r="I8" s="31">
        <f>IF(H8=" "," ",H8*Koeficienty!$B$25)</f>
        <v>4043.382248736568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 t="shared" si="0"/>
        <v> </v>
      </c>
      <c r="F9" s="31" t="str">
        <f>IF(E9=" "," ",E9*Koeficienty!$B$25)</f>
        <v> </v>
      </c>
      <c r="G9" s="32" t="str">
        <f aca="true" t="shared" si="1" ref="G9:G25">IF(E9=" "," ",E9*C9)</f>
        <v> </v>
      </c>
      <c r="H9" s="31" t="str">
        <f aca="true" t="shared" si="2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>
        <v>2</v>
      </c>
      <c r="C10" s="9">
        <f>B10*1</f>
        <v>2</v>
      </c>
      <c r="D10" s="9">
        <f>Koeficienty!B4</f>
        <v>1.4375</v>
      </c>
      <c r="E10" s="31">
        <f t="shared" si="0"/>
        <v>145.59341169618955</v>
      </c>
      <c r="F10" s="31">
        <f>IF(E10=" "," ",E10*Koeficienty!$B$25)</f>
        <v>152.87308228099903</v>
      </c>
      <c r="G10" s="32">
        <f t="shared" si="1"/>
        <v>291.1868233923791</v>
      </c>
      <c r="H10" s="31">
        <f t="shared" si="2"/>
        <v>4428.466272425766</v>
      </c>
      <c r="I10" s="31">
        <f>IF(H10=" "," ",H10*Koeficienty!$B$25)</f>
        <v>4649.889586047055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 t="shared" si="0"/>
        <v> </v>
      </c>
      <c r="F11" s="31" t="str">
        <f>IF(E11=" "," ",E11*Koeficienty!$B$25)</f>
        <v> </v>
      </c>
      <c r="G11" s="32" t="str">
        <f t="shared" si="1"/>
        <v> </v>
      </c>
      <c r="H11" s="31" t="str">
        <f t="shared" si="2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v>39</v>
      </c>
      <c r="C12" s="9">
        <f>B12*2</f>
        <v>78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101.28237335387098</v>
      </c>
      <c r="F12" s="31">
        <f>IF(E12=" "," ",E12*Koeficienty!$B$25)</f>
        <v>106.34649202156453</v>
      </c>
      <c r="G12" s="32">
        <f t="shared" si="1"/>
        <v>7900.025121601937</v>
      </c>
      <c r="H12" s="31">
        <f t="shared" si="2"/>
        <v>3080.6721895135756</v>
      </c>
      <c r="I12" s="31">
        <f>IF(H12=" "," ",H12*Koeficienty!$B$25)</f>
        <v>3234.7057989892546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t="shared" si="0"/>
        <v> </v>
      </c>
      <c r="F13" s="31" t="str">
        <f>IF(E13=" "," ",E13*Koeficienty!$B$25)</f>
        <v> </v>
      </c>
      <c r="G13" s="32" t="str">
        <f t="shared" si="1"/>
        <v> </v>
      </c>
      <c r="H13" s="31" t="str">
        <f t="shared" si="2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/>
      <c r="C14" s="9">
        <f>B14*2</f>
        <v>0</v>
      </c>
      <c r="D14" s="9">
        <f>Koeficienty!B8</f>
        <v>1.15</v>
      </c>
      <c r="E14" s="31" t="str">
        <f t="shared" si="0"/>
        <v> </v>
      </c>
      <c r="F14" s="31" t="str">
        <f>IF(E14=" "," ",E14*Koeficienty!$B$25)</f>
        <v> </v>
      </c>
      <c r="G14" s="32" t="str">
        <f t="shared" si="1"/>
        <v> </v>
      </c>
      <c r="H14" s="31" t="str">
        <f t="shared" si="2"/>
        <v> </v>
      </c>
      <c r="I14" s="31" t="str">
        <f>IF(H14=" "," ",H14*Koeficienty!$B$25)</f>
        <v> 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0"/>
        <v> </v>
      </c>
      <c r="F15" s="31" t="str">
        <f>IF(E15=" "," ",E15*Koeficienty!$B$25)</f>
        <v> </v>
      </c>
      <c r="G15" s="32" t="str">
        <f t="shared" si="1"/>
        <v> </v>
      </c>
      <c r="H15" s="31" t="str">
        <f t="shared" si="2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>
        <v>39</v>
      </c>
      <c r="C16" s="9">
        <f>B16*3</f>
        <v>117</v>
      </c>
      <c r="D16" s="9">
        <f>Koeficienty!B10</f>
        <v>0.8</v>
      </c>
      <c r="E16" s="31">
        <f t="shared" si="0"/>
        <v>81.02589868309678</v>
      </c>
      <c r="F16" s="31">
        <f>IF(E16=" "," ",E16*Koeficienty!$B$25)</f>
        <v>85.07719361725162</v>
      </c>
      <c r="G16" s="32">
        <f t="shared" si="1"/>
        <v>9480.030145922323</v>
      </c>
      <c r="H16" s="31">
        <f t="shared" si="2"/>
        <v>2464.5377516108606</v>
      </c>
      <c r="I16" s="31">
        <f>IF(H16=" "," ",H16*Koeficienty!$B$25)</f>
        <v>2587.7646391914036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0"/>
        <v> </v>
      </c>
      <c r="F17" s="31" t="str">
        <f>IF(E17=" "," ",E17*Koeficienty!$B$25)</f>
        <v> </v>
      </c>
      <c r="G17" s="32" t="str">
        <f t="shared" si="1"/>
        <v> </v>
      </c>
      <c r="H17" s="31" t="str">
        <f t="shared" si="2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>
        <v>1</v>
      </c>
      <c r="C18" s="9">
        <f>B18*3</f>
        <v>3</v>
      </c>
      <c r="D18" s="9">
        <f>Koeficienty!B12</f>
        <v>0.9199999999999999</v>
      </c>
      <c r="E18" s="31">
        <f t="shared" si="0"/>
        <v>93.17978348556129</v>
      </c>
      <c r="F18" s="31">
        <f>IF(E18=" "," ",E18*Koeficienty!$B$25)</f>
        <v>97.83877265983935</v>
      </c>
      <c r="G18" s="32">
        <f t="shared" si="1"/>
        <v>279.53935045668385</v>
      </c>
      <c r="H18" s="31">
        <f t="shared" si="2"/>
        <v>2834.2184143524896</v>
      </c>
      <c r="I18" s="31">
        <f>IF(H18=" "," ",H18*Koeficienty!$B$25)</f>
        <v>2975.929335070114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0"/>
        <v> </v>
      </c>
      <c r="F19" s="31" t="str">
        <f>IF(E19=" "," ",E19*Koeficienty!$B$25)</f>
        <v> </v>
      </c>
      <c r="G19" s="32" t="str">
        <f t="shared" si="1"/>
        <v> </v>
      </c>
      <c r="H19" s="31" t="str">
        <f t="shared" si="2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>
        <v>56</v>
      </c>
      <c r="C20" s="9">
        <f>B20*4</f>
        <v>224</v>
      </c>
      <c r="D20" s="9">
        <f>Koeficienty!B14</f>
        <v>0.7</v>
      </c>
      <c r="E20" s="31">
        <f t="shared" si="0"/>
        <v>70.89766134770969</v>
      </c>
      <c r="F20" s="31">
        <f>IF(E20=" "," ",E20*Koeficienty!$B$25)</f>
        <v>74.44254441509517</v>
      </c>
      <c r="G20" s="32">
        <f t="shared" si="1"/>
        <v>15881.07614188697</v>
      </c>
      <c r="H20" s="31">
        <f t="shared" si="2"/>
        <v>2156.470532659503</v>
      </c>
      <c r="I20" s="31">
        <f>IF(H20=" "," ",H20*Koeficienty!$B$25)</f>
        <v>2264.2940592924783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0"/>
        <v> </v>
      </c>
      <c r="F21" s="31" t="str">
        <f>IF(E21=" "," ",E21*Koeficienty!$B$25)</f>
        <v> </v>
      </c>
      <c r="G21" s="32" t="str">
        <f t="shared" si="1"/>
        <v> </v>
      </c>
      <c r="H21" s="31" t="str">
        <f t="shared" si="2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0"/>
        <v> </v>
      </c>
      <c r="F22" s="31" t="str">
        <f>IF(E22=" "," ",E22*Koeficienty!$B$25)</f>
        <v> </v>
      </c>
      <c r="G22" s="32" t="str">
        <f t="shared" si="1"/>
        <v> </v>
      </c>
      <c r="H22" s="31" t="str">
        <f t="shared" si="2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0"/>
        <v> </v>
      </c>
      <c r="F23" s="31" t="str">
        <f>IF(E23=" "," ",E23*Koeficienty!$B$25)</f>
        <v> </v>
      </c>
      <c r="G23" s="32" t="str">
        <f t="shared" si="1"/>
        <v> </v>
      </c>
      <c r="H23" s="31" t="str">
        <f t="shared" si="2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>
        <v>2</v>
      </c>
      <c r="C24" s="9">
        <f>B24*5</f>
        <v>10</v>
      </c>
      <c r="D24" s="9">
        <f>Koeficienty!B18</f>
        <v>0.6</v>
      </c>
      <c r="E24" s="31">
        <f t="shared" si="0"/>
        <v>60.76942401232259</v>
      </c>
      <c r="F24" s="31">
        <f>IF(E24=" "," ",E24*Koeficienty!$B$25)</f>
        <v>63.80789521293872</v>
      </c>
      <c r="G24" s="32">
        <f t="shared" si="1"/>
        <v>607.6942401232259</v>
      </c>
      <c r="H24" s="31">
        <f t="shared" si="2"/>
        <v>1848.4033137081453</v>
      </c>
      <c r="I24" s="31">
        <f>IF(H24=" "," ",H24*Koeficienty!$B$25)</f>
        <v>1940.8234793935526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0"/>
        <v> </v>
      </c>
      <c r="F25" s="31" t="str">
        <f>IF(E25=" "," ",E25*Koeficienty!$B$25)</f>
        <v> </v>
      </c>
      <c r="G25" s="32" t="str">
        <f t="shared" si="1"/>
        <v> </v>
      </c>
      <c r="H25" s="31" t="str">
        <f t="shared" si="2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439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439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79.89195138233532</v>
      </c>
      <c r="C29" s="34"/>
      <c r="D29" s="34"/>
      <c r="E29" s="24"/>
      <c r="F29" s="24"/>
      <c r="G29" s="32"/>
      <c r="H29" s="35">
        <f>B29*365/12</f>
        <v>2430.0468545460326</v>
      </c>
      <c r="I29" s="24"/>
      <c r="J29" s="25"/>
    </row>
    <row r="30" spans="1:10" ht="12.75">
      <c r="A30" s="18" t="s">
        <v>5</v>
      </c>
      <c r="B30" s="36">
        <f>B28*B29</f>
        <v>35072.56665684521</v>
      </c>
      <c r="C30" s="37"/>
      <c r="D30" s="37"/>
      <c r="E30" s="32"/>
      <c r="F30" s="32"/>
      <c r="G30" s="38">
        <f>SUM(G8:G25)</f>
        <v>35072.566656845214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18"/>
      <c r="B32" s="9"/>
      <c r="C32" s="9"/>
      <c r="D32" s="9"/>
      <c r="E32" s="24"/>
      <c r="F32" s="24"/>
      <c r="G32" s="24"/>
      <c r="H32" s="24"/>
      <c r="I32" s="24"/>
      <c r="J32" s="25"/>
    </row>
    <row r="33" spans="1:10" ht="12.75">
      <c r="A33" s="39"/>
      <c r="B33" s="40"/>
      <c r="C33" s="40"/>
      <c r="D33" s="40"/>
      <c r="E33" s="41"/>
      <c r="F33" s="41"/>
      <c r="G33" s="41"/>
      <c r="H33" s="41"/>
      <c r="I33" s="41"/>
      <c r="J33" s="42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4" sqref="E4"/>
    </sheetView>
  </sheetViews>
  <sheetFormatPr defaultColWidth="9.140625" defaultRowHeight="12.75"/>
  <cols>
    <col min="1" max="1" width="33.57421875" style="0" customWidth="1"/>
    <col min="2" max="2" width="9.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140625" style="0" customWidth="1"/>
    <col min="8" max="8" width="14.421875" style="0" customWidth="1"/>
    <col min="9" max="9" width="13.00390625" style="0" customWidth="1"/>
    <col min="10" max="10" width="5.4218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32</v>
      </c>
      <c r="B2" s="15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koleje'!D3</f>
        <v>135.43326051094957</v>
      </c>
      <c r="F4" s="23"/>
      <c r="G4" s="9"/>
      <c r="H4" s="24">
        <f>E4*365/12</f>
        <v>4119.428340541383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>
        <v>28</v>
      </c>
      <c r="C10" s="9">
        <f>B10*1</f>
        <v>28</v>
      </c>
      <c r="D10" s="9">
        <f>Koeficienty!B4</f>
        <v>1.4375</v>
      </c>
      <c r="E10" s="31">
        <f>IF(B10&gt;0,$E$12*D10," ")</f>
        <v>154.66143947238066</v>
      </c>
      <c r="F10" s="31">
        <f>IF(E10=" "," ",E10*Koeficienty!$B$25)</f>
        <v>162.3945114459997</v>
      </c>
      <c r="G10" s="32">
        <f t="shared" si="0"/>
        <v>4330.520305226659</v>
      </c>
      <c r="H10" s="31">
        <f t="shared" si="1"/>
        <v>4704.285450618246</v>
      </c>
      <c r="I10" s="31">
        <f>IF(H10=" "," ",H10*Koeficienty!$B$25)</f>
        <v>4939.499723149158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/>
      <c r="C12" s="9">
        <f>B12*2</f>
        <v>0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107.59056658948221</v>
      </c>
      <c r="F12" s="31">
        <f>IF(E12=" "," ",E12*Koeficienty!$B$25)</f>
        <v>112.97009491895632</v>
      </c>
      <c r="G12" s="32">
        <f t="shared" si="0"/>
        <v>0</v>
      </c>
      <c r="H12" s="31">
        <f t="shared" si="1"/>
        <v>3272.5464004300834</v>
      </c>
      <c r="I12" s="31">
        <f>IF(H12=" "," ",H12*Koeficienty!$B$25)</f>
        <v>3436.1737204515875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23</v>
      </c>
      <c r="C14" s="9">
        <f>B14*2</f>
        <v>46</v>
      </c>
      <c r="D14" s="9">
        <f>Koeficienty!B8</f>
        <v>1.15</v>
      </c>
      <c r="E14" s="31">
        <f t="shared" si="2"/>
        <v>123.72915157790453</v>
      </c>
      <c r="F14" s="31">
        <f>IF(E14=" "," ",E14*Koeficienty!$B$25)</f>
        <v>129.91560915679977</v>
      </c>
      <c r="G14" s="32">
        <f t="shared" si="0"/>
        <v>5691.540972583609</v>
      </c>
      <c r="H14" s="31">
        <f t="shared" si="1"/>
        <v>3763.4283604945963</v>
      </c>
      <c r="I14" s="31">
        <f>IF(H14=" "," ",H14*Koeficienty!$B$25)</f>
        <v>3951.5997785193263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/>
      <c r="C16" s="9">
        <f>B16*3</f>
        <v>0</v>
      </c>
      <c r="D16" s="9">
        <f>Koeficienty!B10</f>
        <v>0.8</v>
      </c>
      <c r="E16" s="31" t="str">
        <f t="shared" si="2"/>
        <v> </v>
      </c>
      <c r="F16" s="31" t="str">
        <f>IF(E16=" "," ",E16*Koeficienty!$B$25)</f>
        <v> </v>
      </c>
      <c r="G16" s="32" t="str">
        <f t="shared" si="0"/>
        <v> </v>
      </c>
      <c r="H16" s="31" t="str">
        <f t="shared" si="1"/>
        <v> </v>
      </c>
      <c r="I16" s="31" t="str">
        <f>IF(H16=" "," ",H16*Koeficienty!$B$25)</f>
        <v> 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74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74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135.43326051094957</v>
      </c>
      <c r="C29" s="34"/>
      <c r="D29" s="34"/>
      <c r="E29" s="24"/>
      <c r="F29" s="24"/>
      <c r="G29" s="32"/>
      <c r="H29" s="35">
        <f>B29*365/12</f>
        <v>4119.428340541383</v>
      </c>
      <c r="I29" s="24"/>
      <c r="J29" s="25"/>
    </row>
    <row r="30" spans="1:10" ht="12.75">
      <c r="A30" s="18" t="s">
        <v>5</v>
      </c>
      <c r="B30" s="36">
        <f>B28*B29</f>
        <v>10022.061277810268</v>
      </c>
      <c r="C30" s="37"/>
      <c r="D30" s="37"/>
      <c r="E30" s="32"/>
      <c r="F30" s="32"/>
      <c r="G30" s="38">
        <f>SUM(G8:G25)</f>
        <v>10022.061277810268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18"/>
      <c r="B32" s="9"/>
      <c r="C32" s="9"/>
      <c r="D32" s="9"/>
      <c r="E32" s="24"/>
      <c r="F32" s="24"/>
      <c r="G32" s="24"/>
      <c r="H32" s="24"/>
      <c r="I32" s="24"/>
      <c r="J32" s="25"/>
    </row>
    <row r="33" spans="1:10" ht="12.75">
      <c r="A33" s="39"/>
      <c r="B33" s="40"/>
      <c r="C33" s="40"/>
      <c r="D33" s="40"/>
      <c r="E33" s="41"/>
      <c r="F33" s="41"/>
      <c r="G33" s="41"/>
      <c r="H33" s="41"/>
      <c r="I33" s="41"/>
      <c r="J33" s="42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9.00390625" style="0" customWidth="1"/>
    <col min="3" max="3" width="6.710937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28125" style="0" customWidth="1"/>
    <col min="8" max="8" width="14.00390625" style="0" customWidth="1"/>
    <col min="9" max="9" width="13.00390625" style="0" customWidth="1"/>
    <col min="10" max="10" width="6.2812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31</v>
      </c>
      <c r="B2" s="12"/>
      <c r="C2" s="12"/>
      <c r="D2" s="1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koleje'!E3</f>
        <v>89.27544759171177</v>
      </c>
      <c r="F4" s="23"/>
      <c r="G4" s="9"/>
      <c r="H4" s="24">
        <f>E4*365/12</f>
        <v>2715.461530914566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/>
      <c r="C8" s="9">
        <f>B8*1</f>
        <v>0</v>
      </c>
      <c r="D8" s="9">
        <f>Koeficienty!B2</f>
        <v>1.25</v>
      </c>
      <c r="E8" s="31" t="str">
        <f>IF(B8&gt;0,$E$12*D8," ")</f>
        <v> </v>
      </c>
      <c r="F8" s="31" t="str">
        <f>IF(E8=" "," ",E8*Koeficienty!$B$25)</f>
        <v> </v>
      </c>
      <c r="G8" s="32" t="str">
        <f>IF(E8=" "," ",E8*C8)</f>
        <v> </v>
      </c>
      <c r="H8" s="31" t="str">
        <f>IF(E8=" "," ",E8*365/12)</f>
        <v> </v>
      </c>
      <c r="I8" s="31" t="str">
        <f>IF(H8=" "," ",H8*Koeficienty!$B$25)</f>
        <v> 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v>16</v>
      </c>
      <c r="C12" s="9">
        <f>B12*2</f>
        <v>32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115.54911552702293</v>
      </c>
      <c r="F12" s="31">
        <f>IF(E12=" "," ",E12*Koeficienty!$B$25)</f>
        <v>121.32657130337408</v>
      </c>
      <c r="G12" s="32">
        <f t="shared" si="0"/>
        <v>3697.571696864734</v>
      </c>
      <c r="H12" s="31">
        <f t="shared" si="1"/>
        <v>3514.6189306136143</v>
      </c>
      <c r="I12" s="31">
        <f>IF(H12=" "," ",H12*Koeficienty!$B$25)</f>
        <v>3690.349877144295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/>
      <c r="C14" s="9">
        <f>B14*2</f>
        <v>0</v>
      </c>
      <c r="D14" s="9">
        <f>Koeficienty!B8</f>
        <v>1.15</v>
      </c>
      <c r="E14" s="31" t="str">
        <f t="shared" si="2"/>
        <v> </v>
      </c>
      <c r="F14" s="31" t="str">
        <f>IF(E14=" "," ",E14*Koeficienty!$B$25)</f>
        <v> </v>
      </c>
      <c r="G14" s="32" t="str">
        <f t="shared" si="0"/>
        <v> </v>
      </c>
      <c r="H14" s="31" t="str">
        <f t="shared" si="1"/>
        <v> </v>
      </c>
      <c r="I14" s="31" t="str">
        <f>IF(H14=" "," ",H14*Koeficienty!$B$25)</f>
        <v> 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>
        <v>17</v>
      </c>
      <c r="C16" s="9">
        <f>B16*3</f>
        <v>51</v>
      </c>
      <c r="D16" s="9">
        <f>Koeficienty!B10</f>
        <v>0.8</v>
      </c>
      <c r="E16" s="31">
        <f t="shared" si="2"/>
        <v>92.43929242161835</v>
      </c>
      <c r="F16" s="31">
        <f>IF(E16=" "," ",E16*Koeficienty!$B$25)</f>
        <v>97.06125704269927</v>
      </c>
      <c r="G16" s="32">
        <f t="shared" si="0"/>
        <v>4714.403913502536</v>
      </c>
      <c r="H16" s="31">
        <f t="shared" si="1"/>
        <v>2811.6951444908914</v>
      </c>
      <c r="I16" s="31">
        <f>IF(H16=" "," ",H16*Koeficienty!$B$25)</f>
        <v>2952.279901715436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>
        <v>15</v>
      </c>
      <c r="C20" s="9">
        <f>B20*4</f>
        <v>60</v>
      </c>
      <c r="D20" s="9">
        <f>Koeficienty!B14</f>
        <v>0.7</v>
      </c>
      <c r="E20" s="31">
        <f t="shared" si="2"/>
        <v>80.88438086891605</v>
      </c>
      <c r="F20" s="31">
        <f>IF(E20=" "," ",E20*Koeficienty!$B$25)</f>
        <v>84.92859991236186</v>
      </c>
      <c r="G20" s="32">
        <f t="shared" si="0"/>
        <v>4853.062852134964</v>
      </c>
      <c r="H20" s="31">
        <f t="shared" si="1"/>
        <v>2460.23325142953</v>
      </c>
      <c r="I20" s="31">
        <f>IF(H20=" "," ",H20*Koeficienty!$B$25)</f>
        <v>2583.2449140010067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>
        <v>5</v>
      </c>
      <c r="C24" s="9">
        <f>B24*5</f>
        <v>25</v>
      </c>
      <c r="D24" s="9">
        <f>Koeficienty!B18</f>
        <v>0.6</v>
      </c>
      <c r="E24" s="31">
        <f t="shared" si="2"/>
        <v>69.32946931621376</v>
      </c>
      <c r="F24" s="31">
        <f>IF(E24=" "," ",E24*Koeficienty!$B$25)</f>
        <v>72.79594278202445</v>
      </c>
      <c r="G24" s="32">
        <f t="shared" si="0"/>
        <v>1733.236732905344</v>
      </c>
      <c r="H24" s="31">
        <f t="shared" si="1"/>
        <v>2108.7713583681684</v>
      </c>
      <c r="I24" s="31">
        <f>IF(H24=" "," ",H24*Koeficienty!$B$25)</f>
        <v>2214.209926286577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18"/>
      <c r="B26" s="9"/>
      <c r="C26" s="9">
        <f>SUM(C8:C25)</f>
        <v>168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168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89.27544759171177</v>
      </c>
      <c r="C29" s="34"/>
      <c r="D29" s="34"/>
      <c r="E29" s="24"/>
      <c r="F29" s="24"/>
      <c r="G29" s="32"/>
      <c r="H29" s="35">
        <f>B29*365/12</f>
        <v>2715.461530914566</v>
      </c>
      <c r="I29" s="24"/>
      <c r="J29" s="25"/>
    </row>
    <row r="30" spans="1:10" ht="12.75">
      <c r="A30" s="18" t="s">
        <v>5</v>
      </c>
      <c r="B30" s="36">
        <f>B28*B29</f>
        <v>14998.275195407577</v>
      </c>
      <c r="C30" s="37"/>
      <c r="D30" s="37"/>
      <c r="E30" s="32"/>
      <c r="F30" s="32"/>
      <c r="G30" s="38">
        <f>SUM(G8:G25)</f>
        <v>14998.27519540758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E5" sqref="E5"/>
    </sheetView>
  </sheetViews>
  <sheetFormatPr defaultColWidth="9.140625" defaultRowHeight="12.75"/>
  <cols>
    <col min="1" max="1" width="33.57421875" style="0" customWidth="1"/>
    <col min="2" max="2" width="9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140625" style="0" customWidth="1"/>
    <col min="8" max="8" width="14.00390625" style="0" customWidth="1"/>
    <col min="9" max="9" width="13.00390625" style="0" customWidth="1"/>
    <col min="10" max="10" width="5.2812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33</v>
      </c>
      <c r="B2" s="15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koleje'!F3</f>
        <v>76.06305462838733</v>
      </c>
      <c r="F4" s="23"/>
      <c r="G4" s="9"/>
      <c r="H4" s="24">
        <f>E4*365/12</f>
        <v>2313.584578280115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>
        <v>16</v>
      </c>
      <c r="C8" s="9">
        <f>B8*1</f>
        <v>16</v>
      </c>
      <c r="D8" s="9">
        <f>Koeficienty!B2</f>
        <v>1.25</v>
      </c>
      <c r="E8" s="31">
        <f>IF(B8&gt;0,$E$12*D8," ")</f>
        <v>97.56222025562741</v>
      </c>
      <c r="F8" s="31">
        <f>IF(E8=" "," ",E8*Koeficienty!$B$25)</f>
        <v>102.44033126840878</v>
      </c>
      <c r="G8" s="32">
        <f>IF(E8=" "," ",E8*C8)</f>
        <v>1560.9955240900385</v>
      </c>
      <c r="H8" s="31">
        <f>IF(E8=" "," ",E8*365/12)</f>
        <v>2967.5175327753336</v>
      </c>
      <c r="I8" s="31">
        <f>IF(H8=" "," ",H8*Koeficienty!$B$25)</f>
        <v>3115.8934094141005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v>78</v>
      </c>
      <c r="C12" s="9">
        <f>B12*2</f>
        <v>156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78.04977620450192</v>
      </c>
      <c r="F12" s="31">
        <f>IF(E12=" "," ",E12*Koeficienty!$B$25)</f>
        <v>81.95226501472702</v>
      </c>
      <c r="G12" s="32">
        <f t="shared" si="0"/>
        <v>12175.7650879023</v>
      </c>
      <c r="H12" s="31">
        <f t="shared" si="1"/>
        <v>2374.0140262202667</v>
      </c>
      <c r="I12" s="31">
        <f>IF(H12=" "," ",H12*Koeficienty!$B$25)</f>
        <v>2492.71472753128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/>
      <c r="C14" s="9">
        <f>B14*2</f>
        <v>0</v>
      </c>
      <c r="D14" s="9">
        <f>Koeficienty!B8</f>
        <v>1.15</v>
      </c>
      <c r="E14" s="31" t="str">
        <f t="shared" si="2"/>
        <v> </v>
      </c>
      <c r="F14" s="31" t="str">
        <f>IF(E14=" "," ",E14*Koeficienty!$B$25)</f>
        <v> </v>
      </c>
      <c r="G14" s="32" t="str">
        <f t="shared" si="0"/>
        <v> </v>
      </c>
      <c r="H14" s="31" t="str">
        <f t="shared" si="1"/>
        <v> </v>
      </c>
      <c r="I14" s="31" t="str">
        <f>IF(H14=" "," ",H14*Koeficienty!$B$25)</f>
        <v> 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>
        <v>16</v>
      </c>
      <c r="C16" s="9">
        <f>B16*3</f>
        <v>48</v>
      </c>
      <c r="D16" s="9">
        <f>Koeficienty!B10</f>
        <v>0.8</v>
      </c>
      <c r="E16" s="31">
        <f t="shared" si="2"/>
        <v>62.43982096360154</v>
      </c>
      <c r="F16" s="31">
        <f>IF(E16=" "," ",E16*Koeficienty!$B$25)</f>
        <v>65.56181201178163</v>
      </c>
      <c r="G16" s="32">
        <f t="shared" si="0"/>
        <v>2997.111406252874</v>
      </c>
      <c r="H16" s="31">
        <f t="shared" si="1"/>
        <v>1899.2112209762136</v>
      </c>
      <c r="I16" s="31">
        <f>IF(H16=" "," ",H16*Koeficienty!$B$25)</f>
        <v>1994.1717820250244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/>
      <c r="C20" s="9">
        <f>B20*4</f>
        <v>0</v>
      </c>
      <c r="D20" s="9">
        <f>Koeficienty!B14</f>
        <v>0.7</v>
      </c>
      <c r="E20" s="31" t="str">
        <f t="shared" si="2"/>
        <v> </v>
      </c>
      <c r="F20" s="31" t="str">
        <f>IF(E20=" "," ",E20*Koeficienty!$B$25)</f>
        <v> </v>
      </c>
      <c r="G20" s="32" t="str">
        <f t="shared" si="0"/>
        <v> </v>
      </c>
      <c r="H20" s="31" t="str">
        <f t="shared" si="1"/>
        <v> </v>
      </c>
      <c r="I20" s="31" t="str">
        <f>IF(H20=" "," ",H20*Koeficienty!$B$25)</f>
        <v> 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220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220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76.06305462838733</v>
      </c>
      <c r="C29" s="34"/>
      <c r="D29" s="34"/>
      <c r="E29" s="24"/>
      <c r="F29" s="24"/>
      <c r="G29" s="32"/>
      <c r="H29" s="35">
        <f>B29*365/12</f>
        <v>2313.584578280115</v>
      </c>
      <c r="I29" s="24"/>
      <c r="J29" s="25"/>
    </row>
    <row r="30" spans="1:10" ht="12.75">
      <c r="A30" s="18" t="s">
        <v>5</v>
      </c>
      <c r="B30" s="36">
        <f>B28*B29</f>
        <v>16733.872018245213</v>
      </c>
      <c r="C30" s="37"/>
      <c r="D30" s="37"/>
      <c r="E30" s="32"/>
      <c r="F30" s="32"/>
      <c r="G30" s="38">
        <f>SUM(G8:G25)</f>
        <v>16733.872018245213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B22" sqref="B22"/>
    </sheetView>
  </sheetViews>
  <sheetFormatPr defaultColWidth="9.140625" defaultRowHeight="12.75"/>
  <cols>
    <col min="1" max="1" width="33.57421875" style="0" customWidth="1"/>
    <col min="2" max="2" width="10.1406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28125" style="0" customWidth="1"/>
    <col min="8" max="8" width="14.00390625" style="0" customWidth="1"/>
    <col min="9" max="9" width="13.00390625" style="0" customWidth="1"/>
    <col min="10" max="10" width="5.4218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34</v>
      </c>
      <c r="B2" s="12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koleje'!G3</f>
        <v>55.05116173287166</v>
      </c>
      <c r="F4" s="23"/>
      <c r="G4" s="9"/>
      <c r="H4" s="24">
        <f>E4*365/12</f>
        <v>1674.4728360415131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>
        <v>23</v>
      </c>
      <c r="C8" s="9">
        <f>B8*1</f>
        <v>23</v>
      </c>
      <c r="D8" s="9">
        <f>Koeficienty!B2</f>
        <v>1.25</v>
      </c>
      <c r="E8" s="31">
        <f>IF(B8&gt;0,$E$12*D8," ")</f>
        <v>75.93714185724127</v>
      </c>
      <c r="F8" s="31">
        <f>IF(E8=" "," ",E8*Koeficienty!$B$25)</f>
        <v>79.73399895010334</v>
      </c>
      <c r="G8" s="32">
        <f>IF(E8=" "," ",E8*C8)</f>
        <v>1746.5542627165491</v>
      </c>
      <c r="H8" s="31">
        <f>IF(E8=" "," ",E8*365/12)</f>
        <v>2309.7547314910885</v>
      </c>
      <c r="I8" s="31">
        <f>IF(H8=" "," ",H8*Koeficienty!$B$25)</f>
        <v>2425.242468065643</v>
      </c>
      <c r="J8" s="25"/>
    </row>
    <row r="9" spans="1:10" ht="12.75">
      <c r="A9" s="30" t="s">
        <v>80</v>
      </c>
      <c r="B9" s="9">
        <v>0</v>
      </c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>
        <v>0</v>
      </c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>
        <v>0</v>
      </c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f>188-B13</f>
        <v>188</v>
      </c>
      <c r="C12" s="9">
        <f>B12*2</f>
        <v>376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60.74971348579302</v>
      </c>
      <c r="F12" s="31">
        <f>IF(E12=" "," ",E12*Koeficienty!$B$25)</f>
        <v>63.78719916008268</v>
      </c>
      <c r="G12" s="32">
        <f t="shared" si="0"/>
        <v>22841.892270658176</v>
      </c>
      <c r="H12" s="31">
        <f t="shared" si="1"/>
        <v>1847.8037851928711</v>
      </c>
      <c r="I12" s="31">
        <f>IF(H12=" "," ",H12*Koeficienty!$B$25)</f>
        <v>1940.1939744525148</v>
      </c>
      <c r="J12" s="25"/>
    </row>
    <row r="13" spans="1:10" ht="12.75">
      <c r="A13" s="30" t="s">
        <v>82</v>
      </c>
      <c r="B13" s="9">
        <v>0</v>
      </c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f>1-B15</f>
        <v>1</v>
      </c>
      <c r="C14" s="9">
        <f>B14*2</f>
        <v>2</v>
      </c>
      <c r="D14" s="9">
        <f>Koeficienty!B8</f>
        <v>1.15</v>
      </c>
      <c r="E14" s="31">
        <f t="shared" si="2"/>
        <v>69.86217050866198</v>
      </c>
      <c r="F14" s="31">
        <f>IF(E14=" "," ",E14*Koeficienty!$B$25)</f>
        <v>73.35527903409508</v>
      </c>
      <c r="G14" s="32">
        <f t="shared" si="0"/>
        <v>139.72434101732395</v>
      </c>
      <c r="H14" s="31">
        <f t="shared" si="1"/>
        <v>2124.9743529718016</v>
      </c>
      <c r="I14" s="31">
        <f>IF(H14=" "," ",H14*Koeficienty!$B$25)</f>
        <v>2231.223070620392</v>
      </c>
      <c r="J14" s="25"/>
    </row>
    <row r="15" spans="1:10" ht="12.75">
      <c r="A15" s="30" t="s">
        <v>83</v>
      </c>
      <c r="B15" s="9">
        <v>0</v>
      </c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>
        <f>88-B17</f>
        <v>88</v>
      </c>
      <c r="C16" s="9">
        <f>B16*3</f>
        <v>264</v>
      </c>
      <c r="D16" s="9">
        <f>Koeficienty!B10</f>
        <v>0.8</v>
      </c>
      <c r="E16" s="31">
        <f t="shared" si="2"/>
        <v>48.59977078863442</v>
      </c>
      <c r="F16" s="31">
        <f>IF(E16=" "," ",E16*Koeficienty!$B$25)</f>
        <v>51.02975932806615</v>
      </c>
      <c r="G16" s="32">
        <f t="shared" si="0"/>
        <v>12830.339488199488</v>
      </c>
      <c r="H16" s="31">
        <f t="shared" si="1"/>
        <v>1478.2430281542972</v>
      </c>
      <c r="I16" s="31">
        <f>IF(H16=" "," ",H16*Koeficienty!$B$25)</f>
        <v>1552.155179562012</v>
      </c>
      <c r="J16" s="25"/>
    </row>
    <row r="17" spans="1:10" ht="12.75">
      <c r="A17" s="30" t="s">
        <v>84</v>
      </c>
      <c r="B17" s="9">
        <v>0</v>
      </c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>
        <f>1-B19</f>
        <v>1</v>
      </c>
      <c r="C18" s="9">
        <f>B18*3</f>
        <v>3</v>
      </c>
      <c r="D18" s="9">
        <f>Koeficienty!B12</f>
        <v>0.9199999999999999</v>
      </c>
      <c r="E18" s="31">
        <f t="shared" si="2"/>
        <v>55.88973640692958</v>
      </c>
      <c r="F18" s="31">
        <f>IF(E18=" "," ",E18*Koeficienty!$B$25)</f>
        <v>58.68422322727606</v>
      </c>
      <c r="G18" s="32">
        <f t="shared" si="0"/>
        <v>167.66920922078873</v>
      </c>
      <c r="H18" s="31">
        <f t="shared" si="1"/>
        <v>1699.9794823774412</v>
      </c>
      <c r="I18" s="31">
        <f>IF(H18=" "," ",H18*Koeficienty!$B$25)</f>
        <v>1784.9784564963134</v>
      </c>
      <c r="J18" s="25"/>
    </row>
    <row r="19" spans="1:10" ht="12.75">
      <c r="A19" s="30" t="s">
        <v>85</v>
      </c>
      <c r="B19" s="9">
        <v>0</v>
      </c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>
        <f>19-B21</f>
        <v>19</v>
      </c>
      <c r="C20" s="9">
        <f>B20*4</f>
        <v>76</v>
      </c>
      <c r="D20" s="9">
        <f>Koeficienty!B14</f>
        <v>0.7</v>
      </c>
      <c r="E20" s="31">
        <f t="shared" si="2"/>
        <v>42.52479944005511</v>
      </c>
      <c r="F20" s="31">
        <f>IF(E20=" "," ",E20*Koeficienty!$B$25)</f>
        <v>44.65103941205787</v>
      </c>
      <c r="G20" s="32">
        <f t="shared" si="0"/>
        <v>3231.8847574441884</v>
      </c>
      <c r="H20" s="31">
        <f t="shared" si="1"/>
        <v>1293.4626496350097</v>
      </c>
      <c r="I20" s="31">
        <f>IF(H20=" "," ",H20*Koeficienty!$B$25)</f>
        <v>1358.1357821167603</v>
      </c>
      <c r="J20" s="25"/>
    </row>
    <row r="21" spans="1:10" ht="12.75">
      <c r="A21" s="30" t="s">
        <v>86</v>
      </c>
      <c r="B21" s="9">
        <v>0</v>
      </c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744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744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55.05116173287166</v>
      </c>
      <c r="C29" s="34"/>
      <c r="D29" s="34"/>
      <c r="E29" s="24"/>
      <c r="F29" s="24"/>
      <c r="G29" s="32"/>
      <c r="H29" s="35">
        <f>B29*365/12</f>
        <v>1674.4728360415131</v>
      </c>
      <c r="I29" s="24"/>
      <c r="J29" s="25"/>
    </row>
    <row r="30" spans="1:10" ht="12.75">
      <c r="A30" s="18" t="s">
        <v>5</v>
      </c>
      <c r="B30" s="36">
        <f>B28*B29</f>
        <v>40958.064329256515</v>
      </c>
      <c r="C30" s="37"/>
      <c r="D30" s="37"/>
      <c r="E30" s="32"/>
      <c r="F30" s="32"/>
      <c r="G30" s="38">
        <f>SUM(G8:G25)</f>
        <v>40958.064329256515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2">
      <selection activeCell="H7" sqref="H7"/>
    </sheetView>
  </sheetViews>
  <sheetFormatPr defaultColWidth="9.140625" defaultRowHeight="12.75"/>
  <cols>
    <col min="1" max="1" width="33.57421875" style="0" customWidth="1"/>
    <col min="2" max="2" width="9.71093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421875" style="0" customWidth="1"/>
    <col min="8" max="8" width="14.00390625" style="0" customWidth="1"/>
    <col min="9" max="9" width="13.00390625" style="0" customWidth="1"/>
    <col min="10" max="10" width="4.71093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35</v>
      </c>
      <c r="B2" s="15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koleje'!H3</f>
        <v>59.548750978370876</v>
      </c>
      <c r="F4" s="23"/>
      <c r="G4" s="9"/>
      <c r="H4" s="24">
        <f>E4*365/12</f>
        <v>1811.2745089254474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>
        <v>1</v>
      </c>
      <c r="C8" s="9">
        <f>B8*1</f>
        <v>1</v>
      </c>
      <c r="D8" s="9">
        <f>Koeficienty!B2</f>
        <v>1.25</v>
      </c>
      <c r="E8" s="31">
        <f>IF(B8&gt;0,$E$12*D8," ")</f>
        <v>73.61525829182449</v>
      </c>
      <c r="F8" s="31">
        <f>IF(E8=" "," ",E8*Koeficienty!$B$25)</f>
        <v>77.29602120641572</v>
      </c>
      <c r="G8" s="32">
        <f>IF(E8=" "," ",E8*C8)</f>
        <v>73.61525829182449</v>
      </c>
      <c r="H8" s="31">
        <f>IF(E8=" "," ",E8*365/12)</f>
        <v>2239.130773042995</v>
      </c>
      <c r="I8" s="31">
        <f>IF(H8=" "," ",H8*Koeficienty!$B$25)</f>
        <v>2351.0873116951448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f>797-B13</f>
        <v>500</v>
      </c>
      <c r="C12" s="9">
        <f>B12*2</f>
        <v>1000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58.89220663345959</v>
      </c>
      <c r="F12" s="31">
        <f>IF(E12=" "," ",E12*Koeficienty!$B$25)</f>
        <v>61.83681696513257</v>
      </c>
      <c r="G12" s="32">
        <f t="shared" si="0"/>
        <v>58892.20663345959</v>
      </c>
      <c r="H12" s="31">
        <f t="shared" si="1"/>
        <v>1791.3046184343957</v>
      </c>
      <c r="I12" s="31">
        <f>IF(H12=" "," ",H12*Koeficienty!$B$25)</f>
        <v>1880.8698493561155</v>
      </c>
      <c r="J12" s="25"/>
    </row>
    <row r="13" spans="1:10" ht="12.75">
      <c r="A13" s="30" t="s">
        <v>82</v>
      </c>
      <c r="B13" s="9">
        <f>129+84+84</f>
        <v>297</v>
      </c>
      <c r="C13" s="9">
        <f>B13*2</f>
        <v>594</v>
      </c>
      <c r="D13" s="9">
        <f>Koeficienty!B7</f>
        <v>1.05</v>
      </c>
      <c r="E13" s="31">
        <f aca="true" t="shared" si="2" ref="E13:E25">IF(B13&gt;0,$E$12*D13," ")</f>
        <v>61.83681696513257</v>
      </c>
      <c r="F13" s="31">
        <f>IF(E13=" "," ",E13*Koeficienty!$B$25)</f>
        <v>64.92865781338921</v>
      </c>
      <c r="G13" s="32">
        <f t="shared" si="0"/>
        <v>36731.06927728875</v>
      </c>
      <c r="H13" s="31">
        <f t="shared" si="1"/>
        <v>1880.8698493561158</v>
      </c>
      <c r="I13" s="31">
        <f>IF(H13=" "," ",H13*Koeficienty!$B$25)</f>
        <v>1974.9133418239217</v>
      </c>
      <c r="J13" s="25"/>
    </row>
    <row r="14" spans="1:10" ht="12.75">
      <c r="A14" s="30" t="s">
        <v>64</v>
      </c>
      <c r="B14" s="9"/>
      <c r="C14" s="9">
        <f>B14*2</f>
        <v>0</v>
      </c>
      <c r="D14" s="9">
        <f>Koeficienty!B8</f>
        <v>1.15</v>
      </c>
      <c r="E14" s="31" t="str">
        <f t="shared" si="2"/>
        <v> </v>
      </c>
      <c r="F14" s="31" t="str">
        <f>IF(E14=" "," ",E14*Koeficienty!$B$25)</f>
        <v> </v>
      </c>
      <c r="G14" s="32" t="str">
        <f t="shared" si="0"/>
        <v> </v>
      </c>
      <c r="H14" s="31" t="str">
        <f t="shared" si="1"/>
        <v> </v>
      </c>
      <c r="I14" s="31" t="str">
        <f>IF(H14=" "," ",H14*Koeficienty!$B$25)</f>
        <v> 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>
        <v>14</v>
      </c>
      <c r="C16" s="9">
        <f>B16*3</f>
        <v>42</v>
      </c>
      <c r="D16" s="9">
        <f>Koeficienty!B10</f>
        <v>0.8</v>
      </c>
      <c r="E16" s="31">
        <f t="shared" si="2"/>
        <v>47.113765306767675</v>
      </c>
      <c r="F16" s="31">
        <f>IF(E16=" "," ",E16*Koeficienty!$B$25)</f>
        <v>49.46945357210606</v>
      </c>
      <c r="G16" s="32">
        <f t="shared" si="0"/>
        <v>1978.7781428842422</v>
      </c>
      <c r="H16" s="31">
        <f t="shared" si="1"/>
        <v>1433.0436947475166</v>
      </c>
      <c r="I16" s="31">
        <f>IF(H16=" "," ",H16*Koeficienty!$B$25)</f>
        <v>1504.6958794848924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>
        <v>1</v>
      </c>
      <c r="C20" s="9">
        <f>B20*4</f>
        <v>4</v>
      </c>
      <c r="D20" s="9">
        <f>Koeficienty!B14</f>
        <v>0.7</v>
      </c>
      <c r="E20" s="31">
        <f t="shared" si="2"/>
        <v>41.22454464342171</v>
      </c>
      <c r="F20" s="31">
        <f>IF(E20=" "," ",E20*Koeficienty!$B$25)</f>
        <v>43.28577187559279</v>
      </c>
      <c r="G20" s="32">
        <f t="shared" si="0"/>
        <v>164.89817857368683</v>
      </c>
      <c r="H20" s="31">
        <f t="shared" si="1"/>
        <v>1253.913232904077</v>
      </c>
      <c r="I20" s="31">
        <f>IF(H20=" "," ",H20*Koeficienty!$B$25)</f>
        <v>1316.6088945492809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66</v>
      </c>
      <c r="B22" s="9"/>
      <c r="C22" s="9">
        <f>B22*4</f>
        <v>0</v>
      </c>
      <c r="D22" s="9">
        <f>Koeficienty!B16</f>
        <v>0.8049999999999999</v>
      </c>
      <c r="E22" s="31" t="str">
        <f t="shared" si="2"/>
        <v> </v>
      </c>
      <c r="F22" s="31" t="str">
        <f>IF(E22=" "," ",E22*Koeficienty!$B$25)</f>
        <v> </v>
      </c>
      <c r="G22" s="32" t="str">
        <f t="shared" si="0"/>
        <v> </v>
      </c>
      <c r="H22" s="31" t="str">
        <f t="shared" si="1"/>
        <v> </v>
      </c>
      <c r="I22" s="31" t="str">
        <f>IF(H22=" "," ",H22*Koeficienty!$B$25)</f>
        <v> 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>
        <v>1</v>
      </c>
      <c r="C24" s="9">
        <f>B24*5</f>
        <v>5</v>
      </c>
      <c r="D24" s="9">
        <f>Koeficienty!B18</f>
        <v>0.6</v>
      </c>
      <c r="E24" s="31">
        <f t="shared" si="2"/>
        <v>35.33532398007575</v>
      </c>
      <c r="F24" s="31">
        <f>IF(E24=" "," ",E24*Koeficienty!$B$25)</f>
        <v>37.10209017907954</v>
      </c>
      <c r="G24" s="32">
        <f t="shared" si="0"/>
        <v>176.67661990037874</v>
      </c>
      <c r="H24" s="31">
        <f t="shared" si="1"/>
        <v>1074.7827710606373</v>
      </c>
      <c r="I24" s="31">
        <f>IF(H24=" "," ",H24*Koeficienty!$B$25)</f>
        <v>1128.521909613669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18"/>
      <c r="B26" s="9"/>
      <c r="C26" s="9">
        <f>SUM(C8:C25)</f>
        <v>1646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1646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59.548750978370876</v>
      </c>
      <c r="C29" s="34"/>
      <c r="D29" s="34"/>
      <c r="E29" s="24"/>
      <c r="F29" s="24"/>
      <c r="G29" s="32"/>
      <c r="H29" s="35">
        <f>B29*365/12</f>
        <v>1811.2745089254474</v>
      </c>
      <c r="I29" s="24"/>
      <c r="J29" s="25"/>
    </row>
    <row r="30" spans="1:10" ht="12.75">
      <c r="A30" s="18" t="s">
        <v>5</v>
      </c>
      <c r="B30" s="36">
        <f>B28*B29</f>
        <v>98017.24411039846</v>
      </c>
      <c r="C30" s="37"/>
      <c r="D30" s="37"/>
      <c r="E30" s="32"/>
      <c r="F30" s="32"/>
      <c r="G30" s="38">
        <f>SUM(G8:G25)</f>
        <v>98017.24411039846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&amp;L&amp;D  &amp;T  J.F.&amp;C&amp;F \ &amp;A&amp;R&amp;P /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5" zoomScaleNormal="85" workbookViewId="0" topLeftCell="A2">
      <selection activeCell="B23" sqref="B23"/>
    </sheetView>
  </sheetViews>
  <sheetFormatPr defaultColWidth="9.140625" defaultRowHeight="12.75"/>
  <cols>
    <col min="1" max="1" width="33.57421875" style="0" customWidth="1"/>
    <col min="2" max="2" width="10.140625" style="0" customWidth="1"/>
    <col min="3" max="3" width="6.140625" style="0" customWidth="1"/>
    <col min="4" max="4" width="8.140625" style="0" customWidth="1"/>
    <col min="5" max="5" width="14.57421875" style="0" customWidth="1"/>
    <col min="6" max="6" width="13.57421875" style="0" customWidth="1"/>
    <col min="7" max="7" width="11.00390625" style="0" customWidth="1"/>
    <col min="8" max="8" width="14.00390625" style="0" customWidth="1"/>
    <col min="9" max="9" width="13.00390625" style="0" customWidth="1"/>
    <col min="10" max="10" width="4.57421875" style="0" customWidth="1"/>
  </cols>
  <sheetData>
    <row r="1" spans="5:7" ht="12.75" hidden="1">
      <c r="E1" s="2"/>
      <c r="F1" s="2"/>
      <c r="G1" s="2"/>
    </row>
    <row r="2" spans="1:10" ht="51.75" customHeight="1">
      <c r="A2" s="11" t="s">
        <v>36</v>
      </c>
      <c r="B2" s="15"/>
      <c r="C2" s="43"/>
      <c r="D2" s="43"/>
      <c r="E2" s="14" t="s">
        <v>29</v>
      </c>
      <c r="F2" s="14"/>
      <c r="G2" s="15"/>
      <c r="H2" s="14" t="s">
        <v>30</v>
      </c>
      <c r="I2" s="16"/>
      <c r="J2" s="17"/>
    </row>
    <row r="3" spans="1:10" ht="12.75" customHeight="1">
      <c r="A3" s="18"/>
      <c r="B3" s="9"/>
      <c r="C3" s="19"/>
      <c r="D3" s="19"/>
      <c r="E3" s="20"/>
      <c r="F3" s="20"/>
      <c r="G3" s="9"/>
      <c r="H3" s="20"/>
      <c r="I3" s="21"/>
      <c r="J3" s="22"/>
    </row>
    <row r="4" spans="1:10" ht="12.75">
      <c r="A4" s="18" t="s">
        <v>70</v>
      </c>
      <c r="B4" s="9"/>
      <c r="C4" s="9"/>
      <c r="D4" s="9"/>
      <c r="E4" s="23">
        <f>'Pražské koleje'!I3</f>
        <v>59.03020962787382</v>
      </c>
      <c r="F4" s="23"/>
      <c r="G4" s="9"/>
      <c r="H4" s="24">
        <f>E4*365/12</f>
        <v>1795.5022095144952</v>
      </c>
      <c r="I4" s="24"/>
      <c r="J4" s="25"/>
    </row>
    <row r="5" spans="1:10" ht="12.75">
      <c r="A5" s="18"/>
      <c r="B5" s="9"/>
      <c r="C5" s="9"/>
      <c r="D5" s="9"/>
      <c r="E5" s="24"/>
      <c r="F5" s="24"/>
      <c r="G5" s="24"/>
      <c r="H5" s="24"/>
      <c r="I5" s="24"/>
      <c r="J5" s="26"/>
    </row>
    <row r="6" spans="1:10" ht="12.75">
      <c r="A6" s="18"/>
      <c r="B6" s="9"/>
      <c r="C6" s="9"/>
      <c r="D6" s="9"/>
      <c r="E6" s="24"/>
      <c r="F6" s="24"/>
      <c r="G6" s="24"/>
      <c r="H6" s="24"/>
      <c r="I6" s="24"/>
      <c r="J6" s="26"/>
    </row>
    <row r="7" spans="1:10" ht="63.75" customHeight="1">
      <c r="A7" s="18"/>
      <c r="B7" s="27" t="s">
        <v>0</v>
      </c>
      <c r="C7" s="27" t="s">
        <v>7</v>
      </c>
      <c r="D7" s="27" t="s">
        <v>6</v>
      </c>
      <c r="E7" s="28" t="s">
        <v>27</v>
      </c>
      <c r="F7" s="28" t="s">
        <v>68</v>
      </c>
      <c r="G7" s="29" t="s">
        <v>8</v>
      </c>
      <c r="H7" s="28" t="s">
        <v>28</v>
      </c>
      <c r="I7" s="28" t="s">
        <v>69</v>
      </c>
      <c r="J7" s="26"/>
    </row>
    <row r="8" spans="1:10" ht="12.75">
      <c r="A8" s="30" t="s">
        <v>58</v>
      </c>
      <c r="B8" s="9">
        <v>2</v>
      </c>
      <c r="C8" s="9">
        <f>B8*1</f>
        <v>2</v>
      </c>
      <c r="D8" s="9">
        <f>Koeficienty!B2</f>
        <v>1.25</v>
      </c>
      <c r="E8" s="31">
        <f>IF(B8&gt;0,$E$12*D8," ")</f>
        <v>72.69406178401935</v>
      </c>
      <c r="F8" s="31">
        <f>IF(E8=" "," ",E8*Koeficienty!$B$25)</f>
        <v>76.32876487322032</v>
      </c>
      <c r="G8" s="32">
        <f>IF(E8=" "," ",E8*C8)</f>
        <v>145.3881235680387</v>
      </c>
      <c r="H8" s="31">
        <f>IF(E8=" "," ",E8*365/12)</f>
        <v>2211.1110459305887</v>
      </c>
      <c r="I8" s="31">
        <f>IF(H8=" "," ",H8*Koeficienty!$B$25)</f>
        <v>2321.6665982271184</v>
      </c>
      <c r="J8" s="25"/>
    </row>
    <row r="9" spans="1:10" ht="12.75">
      <c r="A9" s="30" t="s">
        <v>80</v>
      </c>
      <c r="B9" s="9"/>
      <c r="C9" s="9">
        <f>B9*1</f>
        <v>0</v>
      </c>
      <c r="D9" s="9">
        <f>Koeficienty!B3</f>
        <v>1.3125</v>
      </c>
      <c r="E9" s="31" t="str">
        <f>IF(B9&gt;0,$E$12*D9," ")</f>
        <v> </v>
      </c>
      <c r="F9" s="31" t="str">
        <f>IF(E9=" "," ",E9*Koeficienty!$B$25)</f>
        <v> </v>
      </c>
      <c r="G9" s="32" t="str">
        <f aca="true" t="shared" si="0" ref="G9:G25">IF(E9=" "," ",E9*C9)</f>
        <v> </v>
      </c>
      <c r="H9" s="31" t="str">
        <f aca="true" t="shared" si="1" ref="H9:H25">IF(E9=" "," ",E9*365/12)</f>
        <v> </v>
      </c>
      <c r="I9" s="31" t="str">
        <f>IF(H9=" "," ",H9*Koeficienty!$B$25)</f>
        <v> </v>
      </c>
      <c r="J9" s="25"/>
    </row>
    <row r="10" spans="1:10" ht="12.75">
      <c r="A10" s="30" t="s">
        <v>63</v>
      </c>
      <c r="B10" s="9"/>
      <c r="C10" s="9">
        <f>B10*1</f>
        <v>0</v>
      </c>
      <c r="D10" s="9">
        <f>Koeficienty!B4</f>
        <v>1.4375</v>
      </c>
      <c r="E10" s="31" t="str">
        <f>IF(B10&gt;0,$E$12*D10," ")</f>
        <v> </v>
      </c>
      <c r="F10" s="31" t="str">
        <f>IF(E10=" "," ",E10*Koeficienty!$B$25)</f>
        <v> </v>
      </c>
      <c r="G10" s="32" t="str">
        <f t="shared" si="0"/>
        <v> </v>
      </c>
      <c r="H10" s="31" t="str">
        <f t="shared" si="1"/>
        <v> </v>
      </c>
      <c r="I10" s="31" t="str">
        <f>IF(H10=" "," ",H10*Koeficienty!$B$25)</f>
        <v> </v>
      </c>
      <c r="J10" s="25"/>
    </row>
    <row r="11" spans="1:10" ht="12.75">
      <c r="A11" s="30" t="s">
        <v>81</v>
      </c>
      <c r="B11" s="9"/>
      <c r="C11" s="9">
        <f>B11*1</f>
        <v>0</v>
      </c>
      <c r="D11" s="9">
        <f>Koeficienty!B5</f>
        <v>1.5093750000000001</v>
      </c>
      <c r="E11" s="31" t="str">
        <f>IF(B11&gt;0,$E$12*D11," ")</f>
        <v> </v>
      </c>
      <c r="F11" s="31" t="str">
        <f>IF(E11=" "," ",E11*Koeficienty!$B$25)</f>
        <v> </v>
      </c>
      <c r="G11" s="32" t="str">
        <f t="shared" si="0"/>
        <v> </v>
      </c>
      <c r="H11" s="31" t="str">
        <f t="shared" si="1"/>
        <v> </v>
      </c>
      <c r="I11" s="31" t="str">
        <f>IF(H11=" "," ",H11*Koeficienty!$B$25)</f>
        <v> </v>
      </c>
      <c r="J11" s="25"/>
    </row>
    <row r="12" spans="1:10" ht="12.75">
      <c r="A12" s="30" t="s">
        <v>59</v>
      </c>
      <c r="B12" s="9">
        <v>663</v>
      </c>
      <c r="C12" s="9">
        <f>B12*2</f>
        <v>1326</v>
      </c>
      <c r="D12" s="9">
        <f>Koeficienty!B6</f>
        <v>1</v>
      </c>
      <c r="E12" s="31">
        <f>B30/(C8*D8+C9*D9+C10*D10+C11*D11+C12*D12+C13*D13+C14*D14+C15*D15+C16*D16+C17*D17+C18*D18+C19*D19+C20*D20+C21*D21+C22*D22+C23*D23+C24*D24+C25*D25)</f>
        <v>58.15524942721549</v>
      </c>
      <c r="F12" s="31">
        <f>IF(E12=" "," ",E12*Koeficienty!$B$25)</f>
        <v>61.06301189857626</v>
      </c>
      <c r="G12" s="32">
        <f t="shared" si="0"/>
        <v>77113.86074048774</v>
      </c>
      <c r="H12" s="31">
        <f t="shared" si="1"/>
        <v>1768.8888367444713</v>
      </c>
      <c r="I12" s="31">
        <f>IF(H12=" "," ",H12*Koeficienty!$B$25)</f>
        <v>1857.333278581695</v>
      </c>
      <c r="J12" s="25"/>
    </row>
    <row r="13" spans="1:10" ht="12.75">
      <c r="A13" s="30" t="s">
        <v>82</v>
      </c>
      <c r="B13" s="9"/>
      <c r="C13" s="9">
        <f>B13*2</f>
        <v>0</v>
      </c>
      <c r="D13" s="9">
        <f>Koeficienty!B7</f>
        <v>1.05</v>
      </c>
      <c r="E13" s="31" t="str">
        <f aca="true" t="shared" si="2" ref="E13:E25">IF(B13&gt;0,$E$12*D13," ")</f>
        <v> </v>
      </c>
      <c r="F13" s="31" t="str">
        <f>IF(E13=" "," ",E13*Koeficienty!$B$25)</f>
        <v> </v>
      </c>
      <c r="G13" s="32" t="str">
        <f t="shared" si="0"/>
        <v> </v>
      </c>
      <c r="H13" s="31" t="str">
        <f t="shared" si="1"/>
        <v> </v>
      </c>
      <c r="I13" s="31" t="str">
        <f>IF(H13=" "," ",H13*Koeficienty!$B$25)</f>
        <v> </v>
      </c>
      <c r="J13" s="25"/>
    </row>
    <row r="14" spans="1:10" ht="12.75">
      <c r="A14" s="30" t="s">
        <v>64</v>
      </c>
      <c r="B14" s="9">
        <v>164</v>
      </c>
      <c r="C14" s="9">
        <f>B14*2</f>
        <v>328</v>
      </c>
      <c r="D14" s="9">
        <f>Koeficienty!B8</f>
        <v>1.15</v>
      </c>
      <c r="E14" s="31">
        <f t="shared" si="2"/>
        <v>66.8785368412978</v>
      </c>
      <c r="F14" s="31">
        <f>IF(E14=" "," ",E14*Koeficienty!$B$25)</f>
        <v>70.22246368336269</v>
      </c>
      <c r="G14" s="32">
        <f t="shared" si="0"/>
        <v>21936.16008394568</v>
      </c>
      <c r="H14" s="31">
        <f t="shared" si="1"/>
        <v>2034.2221622561412</v>
      </c>
      <c r="I14" s="31">
        <f>IF(H14=" "," ",H14*Koeficienty!$B$25)</f>
        <v>2135.9332703689483</v>
      </c>
      <c r="J14" s="25"/>
    </row>
    <row r="15" spans="1:10" ht="12.75">
      <c r="A15" s="30" t="s">
        <v>83</v>
      </c>
      <c r="B15" s="9"/>
      <c r="C15" s="9">
        <f>B15*2</f>
        <v>0</v>
      </c>
      <c r="D15" s="9">
        <f>Koeficienty!B9</f>
        <v>1.2075</v>
      </c>
      <c r="E15" s="31" t="str">
        <f t="shared" si="2"/>
        <v> </v>
      </c>
      <c r="F15" s="31" t="str">
        <f>IF(E15=" "," ",E15*Koeficienty!$B$25)</f>
        <v> </v>
      </c>
      <c r="G15" s="32" t="str">
        <f t="shared" si="0"/>
        <v> </v>
      </c>
      <c r="H15" s="31" t="str">
        <f t="shared" si="1"/>
        <v> </v>
      </c>
      <c r="I15" s="31" t="str">
        <f>IF(H15=" "," ",H15*Koeficienty!$B$25)</f>
        <v> </v>
      </c>
      <c r="J15" s="25"/>
    </row>
    <row r="16" spans="1:10" ht="12.75">
      <c r="A16" s="30" t="s">
        <v>60</v>
      </c>
      <c r="B16" s="9"/>
      <c r="C16" s="9">
        <f>B16*3</f>
        <v>0</v>
      </c>
      <c r="D16" s="9">
        <f>Koeficienty!B10</f>
        <v>0.8</v>
      </c>
      <c r="E16" s="31" t="str">
        <f t="shared" si="2"/>
        <v> </v>
      </c>
      <c r="F16" s="31" t="str">
        <f>IF(E16=" "," ",E16*Koeficienty!$B$25)</f>
        <v> </v>
      </c>
      <c r="G16" s="32" t="str">
        <f t="shared" si="0"/>
        <v> </v>
      </c>
      <c r="H16" s="31" t="str">
        <f t="shared" si="1"/>
        <v> </v>
      </c>
      <c r="I16" s="31" t="str">
        <f>IF(H16=" "," ",H16*Koeficienty!$B$25)</f>
        <v> </v>
      </c>
      <c r="J16" s="25"/>
    </row>
    <row r="17" spans="1:10" ht="12.75">
      <c r="A17" s="30" t="s">
        <v>84</v>
      </c>
      <c r="B17" s="9"/>
      <c r="C17" s="9">
        <f>B17*3</f>
        <v>0</v>
      </c>
      <c r="D17" s="9">
        <f>Koeficienty!B11</f>
        <v>0.8400000000000001</v>
      </c>
      <c r="E17" s="31" t="str">
        <f t="shared" si="2"/>
        <v> </v>
      </c>
      <c r="F17" s="31" t="str">
        <f>IF(E17=" "," ",E17*Koeficienty!$B$25)</f>
        <v> </v>
      </c>
      <c r="G17" s="32" t="str">
        <f t="shared" si="0"/>
        <v> </v>
      </c>
      <c r="H17" s="31" t="str">
        <f t="shared" si="1"/>
        <v> </v>
      </c>
      <c r="I17" s="31" t="str">
        <f>IF(H17=" "," ",H17*Koeficienty!$B$25)</f>
        <v> </v>
      </c>
      <c r="J17" s="25"/>
    </row>
    <row r="18" spans="1:10" ht="12.75">
      <c r="A18" s="30" t="s">
        <v>65</v>
      </c>
      <c r="B18" s="9"/>
      <c r="C18" s="9">
        <f>B18*3</f>
        <v>0</v>
      </c>
      <c r="D18" s="9">
        <f>Koeficienty!B12</f>
        <v>0.9199999999999999</v>
      </c>
      <c r="E18" s="31" t="str">
        <f t="shared" si="2"/>
        <v> </v>
      </c>
      <c r="F18" s="31" t="str">
        <f>IF(E18=" "," ",E18*Koeficienty!$B$25)</f>
        <v> </v>
      </c>
      <c r="G18" s="32" t="str">
        <f t="shared" si="0"/>
        <v> </v>
      </c>
      <c r="H18" s="31" t="str">
        <f t="shared" si="1"/>
        <v> </v>
      </c>
      <c r="I18" s="31" t="str">
        <f>IF(H18=" "," ",H18*Koeficienty!$B$25)</f>
        <v> </v>
      </c>
      <c r="J18" s="25"/>
    </row>
    <row r="19" spans="1:10" ht="12.75">
      <c r="A19" s="30" t="s">
        <v>85</v>
      </c>
      <c r="B19" s="9"/>
      <c r="C19" s="9">
        <f>B19*3</f>
        <v>0</v>
      </c>
      <c r="D19" s="9">
        <f>Koeficienty!B13</f>
        <v>0.966</v>
      </c>
      <c r="E19" s="31" t="str">
        <f t="shared" si="2"/>
        <v> </v>
      </c>
      <c r="F19" s="31" t="str">
        <f>IF(E19=" "," ",E19*Koeficienty!$B$25)</f>
        <v> </v>
      </c>
      <c r="G19" s="32" t="str">
        <f t="shared" si="0"/>
        <v> </v>
      </c>
      <c r="H19" s="31" t="str">
        <f t="shared" si="1"/>
        <v> </v>
      </c>
      <c r="I19" s="31" t="str">
        <f>IF(H19=" "," ",H19*Koeficienty!$B$25)</f>
        <v> </v>
      </c>
      <c r="J19" s="25"/>
    </row>
    <row r="20" spans="1:10" ht="12.75">
      <c r="A20" s="30" t="s">
        <v>61</v>
      </c>
      <c r="B20" s="9">
        <v>3</v>
      </c>
      <c r="C20" s="9">
        <f>B20*4</f>
        <v>12</v>
      </c>
      <c r="D20" s="9">
        <f>Koeficienty!B14</f>
        <v>0.7</v>
      </c>
      <c r="E20" s="31">
        <f t="shared" si="2"/>
        <v>40.70867459905084</v>
      </c>
      <c r="F20" s="31">
        <f>IF(E20=" "," ",E20*Koeficienty!$B$25)</f>
        <v>42.74410832900338</v>
      </c>
      <c r="G20" s="32">
        <f t="shared" si="0"/>
        <v>488.50409518861005</v>
      </c>
      <c r="H20" s="31">
        <f t="shared" si="1"/>
        <v>1238.2221857211296</v>
      </c>
      <c r="I20" s="31">
        <f>IF(H20=" "," ",H20*Koeficienty!$B$25)</f>
        <v>1300.133295007186</v>
      </c>
      <c r="J20" s="25"/>
    </row>
    <row r="21" spans="1:10" ht="12.75">
      <c r="A21" s="30" t="s">
        <v>86</v>
      </c>
      <c r="B21" s="9"/>
      <c r="C21" s="9">
        <f>B21*4</f>
        <v>0</v>
      </c>
      <c r="D21" s="9">
        <f>Koeficienty!B15</f>
        <v>0.735</v>
      </c>
      <c r="E21" s="31" t="str">
        <f t="shared" si="2"/>
        <v> </v>
      </c>
      <c r="F21" s="31" t="str">
        <f>IF(E21=" "," ",E21*Koeficienty!$B$25)</f>
        <v> </v>
      </c>
      <c r="G21" s="32" t="str">
        <f t="shared" si="0"/>
        <v> </v>
      </c>
      <c r="H21" s="31" t="str">
        <f t="shared" si="1"/>
        <v> </v>
      </c>
      <c r="I21" s="31" t="str">
        <f>IF(H21=" "," ",H21*Koeficienty!$B$25)</f>
        <v> </v>
      </c>
      <c r="J21" s="25"/>
    </row>
    <row r="22" spans="1:10" ht="12.75">
      <c r="A22" s="30" t="s">
        <v>92</v>
      </c>
      <c r="B22" s="9">
        <v>25</v>
      </c>
      <c r="C22" s="9">
        <f>B22*4</f>
        <v>100</v>
      </c>
      <c r="D22" s="9">
        <f>Koeficienty!B16</f>
        <v>0.8049999999999999</v>
      </c>
      <c r="E22" s="31">
        <f t="shared" si="2"/>
        <v>46.81497578890846</v>
      </c>
      <c r="F22" s="31">
        <f>IF(E22=" "," ",E22*Koeficienty!$B$25)</f>
        <v>49.15572457835389</v>
      </c>
      <c r="G22" s="32">
        <f t="shared" si="0"/>
        <v>4681.497578890846</v>
      </c>
      <c r="H22" s="31">
        <f t="shared" si="1"/>
        <v>1423.9555135792991</v>
      </c>
      <c r="I22" s="31">
        <f>IF(H22=" "," ",H22*Koeficienty!$B$25)</f>
        <v>1495.153289258264</v>
      </c>
      <c r="J22" s="25"/>
    </row>
    <row r="23" spans="1:10" ht="12.75">
      <c r="A23" s="30" t="s">
        <v>87</v>
      </c>
      <c r="B23" s="9"/>
      <c r="C23" s="9">
        <f>B23*4</f>
        <v>0</v>
      </c>
      <c r="D23" s="9">
        <f>Koeficienty!B17</f>
        <v>0.84525</v>
      </c>
      <c r="E23" s="31" t="str">
        <f t="shared" si="2"/>
        <v> </v>
      </c>
      <c r="F23" s="31" t="str">
        <f>IF(E23=" "," ",E23*Koeficienty!$B$25)</f>
        <v> </v>
      </c>
      <c r="G23" s="32" t="str">
        <f t="shared" si="0"/>
        <v> </v>
      </c>
      <c r="H23" s="31" t="str">
        <f t="shared" si="1"/>
        <v> </v>
      </c>
      <c r="I23" s="31" t="str">
        <f>IF(H23=" "," ",H23*Koeficienty!$B$25)</f>
        <v> </v>
      </c>
      <c r="J23" s="25"/>
    </row>
    <row r="24" spans="1:10" ht="12.75">
      <c r="A24" s="30" t="s">
        <v>62</v>
      </c>
      <c r="B24" s="9"/>
      <c r="C24" s="9">
        <f>B24*5</f>
        <v>0</v>
      </c>
      <c r="D24" s="9">
        <f>Koeficienty!B18</f>
        <v>0.6</v>
      </c>
      <c r="E24" s="31" t="str">
        <f t="shared" si="2"/>
        <v> </v>
      </c>
      <c r="F24" s="31" t="str">
        <f>IF(E24=" "," ",E24*Koeficienty!$B$25)</f>
        <v> </v>
      </c>
      <c r="G24" s="32" t="str">
        <f t="shared" si="0"/>
        <v> </v>
      </c>
      <c r="H24" s="31" t="str">
        <f t="shared" si="1"/>
        <v> </v>
      </c>
      <c r="I24" s="31" t="str">
        <f>IF(H24=" "," ",H24*Koeficienty!$B$25)</f>
        <v> </v>
      </c>
      <c r="J24" s="25"/>
    </row>
    <row r="25" spans="1:10" ht="12.75">
      <c r="A25" s="30" t="s">
        <v>67</v>
      </c>
      <c r="B25" s="9"/>
      <c r="C25" s="9">
        <f>B25*5</f>
        <v>0</v>
      </c>
      <c r="D25" s="9">
        <f>Koeficienty!B19</f>
        <v>0.69</v>
      </c>
      <c r="E25" s="31" t="str">
        <f t="shared" si="2"/>
        <v> </v>
      </c>
      <c r="F25" s="31" t="str">
        <f>IF(E25=" "," ",E25*Koeficienty!$B$25)</f>
        <v> </v>
      </c>
      <c r="G25" s="32" t="str">
        <f t="shared" si="0"/>
        <v> </v>
      </c>
      <c r="H25" s="31" t="str">
        <f t="shared" si="1"/>
        <v> </v>
      </c>
      <c r="I25" s="31" t="str">
        <f>IF(H25=" "," ",H25*Koeficienty!$B$25)</f>
        <v> </v>
      </c>
      <c r="J25" s="25"/>
    </row>
    <row r="26" spans="1:10" ht="12.75">
      <c r="A26" s="30"/>
      <c r="B26" s="9"/>
      <c r="C26" s="9">
        <f>SUM(C8:C25)</f>
        <v>1768</v>
      </c>
      <c r="D26" s="9"/>
      <c r="E26" s="24"/>
      <c r="F26" s="24"/>
      <c r="G26" s="32"/>
      <c r="H26" s="24"/>
      <c r="I26" s="24"/>
      <c r="J26" s="25"/>
    </row>
    <row r="27" spans="1:10" ht="12.75">
      <c r="A27" s="33" t="s">
        <v>2</v>
      </c>
      <c r="B27" s="9"/>
      <c r="C27" s="9"/>
      <c r="D27" s="9"/>
      <c r="E27" s="24"/>
      <c r="F27" s="24"/>
      <c r="G27" s="32"/>
      <c r="H27" s="24"/>
      <c r="I27" s="24"/>
      <c r="J27" s="25"/>
    </row>
    <row r="28" spans="1:10" ht="12.75">
      <c r="A28" s="18" t="s">
        <v>3</v>
      </c>
      <c r="B28" s="9">
        <f>C26</f>
        <v>1768</v>
      </c>
      <c r="C28" s="9"/>
      <c r="D28" s="9"/>
      <c r="E28" s="24"/>
      <c r="F28" s="24"/>
      <c r="G28" s="32"/>
      <c r="H28" s="24"/>
      <c r="I28" s="24"/>
      <c r="J28" s="25"/>
    </row>
    <row r="29" spans="1:10" ht="12.75">
      <c r="A29" s="18" t="s">
        <v>4</v>
      </c>
      <c r="B29" s="34">
        <f>E4</f>
        <v>59.03020962787382</v>
      </c>
      <c r="C29" s="34"/>
      <c r="D29" s="34"/>
      <c r="E29" s="24"/>
      <c r="F29" s="24"/>
      <c r="G29" s="32"/>
      <c r="H29" s="35">
        <f>B29*365/12</f>
        <v>1795.5022095144952</v>
      </c>
      <c r="I29" s="24"/>
      <c r="J29" s="25"/>
    </row>
    <row r="30" spans="1:10" ht="12.75">
      <c r="A30" s="18" t="s">
        <v>5</v>
      </c>
      <c r="B30" s="36">
        <f>B28*B29</f>
        <v>104365.41062208092</v>
      </c>
      <c r="C30" s="37"/>
      <c r="D30" s="37"/>
      <c r="E30" s="32"/>
      <c r="F30" s="32"/>
      <c r="G30" s="38">
        <f>SUM(G8:G25)</f>
        <v>104365.41062208092</v>
      </c>
      <c r="H30" s="24"/>
      <c r="I30" s="24"/>
      <c r="J30" s="25"/>
    </row>
    <row r="31" spans="1:10" ht="12.75">
      <c r="A31" s="18"/>
      <c r="B31" s="9"/>
      <c r="C31" s="9"/>
      <c r="D31" s="9"/>
      <c r="E31" s="24"/>
      <c r="F31" s="24"/>
      <c r="G31" s="24"/>
      <c r="H31" s="24"/>
      <c r="I31" s="24"/>
      <c r="J31" s="25"/>
    </row>
    <row r="32" spans="1:10" ht="12.75">
      <c r="A32" s="39"/>
      <c r="B32" s="40"/>
      <c r="C32" s="40"/>
      <c r="D32" s="40"/>
      <c r="E32" s="41"/>
      <c r="F32" s="41"/>
      <c r="G32" s="41"/>
      <c r="H32" s="41"/>
      <c r="I32" s="41"/>
      <c r="J32" s="42"/>
    </row>
    <row r="33" spans="5:10" ht="12.75">
      <c r="E33" s="8"/>
      <c r="F33" s="8"/>
      <c r="G33" s="8"/>
      <c r="H33" s="8"/>
      <c r="I33" s="8"/>
      <c r="J33" s="1"/>
    </row>
    <row r="34" spans="5:10" ht="12.75">
      <c r="E34" s="8"/>
      <c r="F34" s="8"/>
      <c r="G34" s="8"/>
      <c r="H34" s="8"/>
      <c r="I34" s="8"/>
      <c r="J34" s="1"/>
    </row>
    <row r="35" spans="5:10" ht="12.75">
      <c r="E35" s="1"/>
      <c r="F35" s="1"/>
      <c r="G35" s="1"/>
      <c r="H35" s="1"/>
      <c r="I35" s="1"/>
      <c r="J35" s="1"/>
    </row>
    <row r="36" spans="5:10" ht="12.75">
      <c r="E36" s="1"/>
      <c r="F36" s="1"/>
      <c r="G36" s="1"/>
      <c r="H36" s="1"/>
      <c r="I36" s="1"/>
      <c r="J36" s="1"/>
    </row>
    <row r="37" spans="5:10" ht="12.75">
      <c r="E37" s="1"/>
      <c r="F37" s="1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5:10" ht="12.75">
      <c r="E39" s="1"/>
      <c r="F39" s="1"/>
      <c r="G39" s="1"/>
      <c r="H39" s="1"/>
      <c r="I39" s="1"/>
      <c r="J39" s="1"/>
    </row>
    <row r="40" spans="5:10" ht="12.75">
      <c r="E40" s="1"/>
      <c r="F40" s="1"/>
      <c r="G40" s="1"/>
      <c r="H40" s="1"/>
      <c r="I40" s="1"/>
      <c r="J40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RNDr. Tomáš Jelínek</cp:lastModifiedBy>
  <cp:lastPrinted>2005-05-20T15:03:47Z</cp:lastPrinted>
  <dcterms:created xsi:type="dcterms:W3CDTF">2005-04-21T14:55:09Z</dcterms:created>
  <dcterms:modified xsi:type="dcterms:W3CDTF">2005-05-25T09:09:34Z</dcterms:modified>
  <cp:category/>
  <cp:version/>
  <cp:contentType/>
  <cp:contentStatus/>
</cp:coreProperties>
</file>